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3.xml" ContentType="application/vnd.openxmlformats-officedocument.drawingml.chartshapes+xml"/>
  <Override PartName="/xl/charts/chart2.xml" ContentType="application/vnd.openxmlformats-officedocument.drawingml.chart+xml"/>
  <Override PartName="/xl/drawings/drawing4.xml" ContentType="application/vnd.openxmlformats-officedocument.drawingml.chartshapes+xml"/>
  <Override PartName="/xl/charts/chart3.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comments2.xml" ContentType="application/vnd.openxmlformats-officedocument.spreadsheetml.comments+xml"/>
  <Override PartName="/xl/charts/chart4.xml" ContentType="application/vnd.openxmlformats-officedocument.drawingml.chart+xml"/>
  <Override PartName="/xl/drawings/drawing8.xml" ContentType="application/vnd.openxmlformats-officedocument.drawingml.chartshapes+xml"/>
  <Override PartName="/xl/charts/chart5.xml" ContentType="application/vnd.openxmlformats-officedocument.drawingml.chart+xml"/>
  <Override PartName="/xl/drawings/drawing9.xml" ContentType="application/vnd.openxmlformats-officedocument.drawingml.chartshapes+xml"/>
  <Override PartName="/xl/charts/chart6.xml" ContentType="application/vnd.openxmlformats-officedocument.drawingml.chart+xml"/>
  <Override PartName="/xl/drawings/drawing10.xml" ContentType="application/vnd.openxmlformats-officedocument.drawingml.chartshapes+xml"/>
  <Override PartName="/xl/drawings/drawing11.xml" ContentType="application/vnd.openxmlformats-officedocument.drawing+xml"/>
  <Override PartName="/xl/comments3.xml" ContentType="application/vnd.openxmlformats-officedocument.spreadsheetml.comments+xml"/>
  <Override PartName="/xl/drawings/drawing12.xml" ContentType="application/vnd.openxmlformats-officedocument.drawing+xml"/>
  <Override PartName="/xl/comments4.xml" ContentType="application/vnd.openxmlformats-officedocument.spreadsheetml.comments+xml"/>
  <Override PartName="/xl/charts/chart7.xml" ContentType="application/vnd.openxmlformats-officedocument.drawingml.chart+xml"/>
  <Override PartName="/xl/drawings/drawing13.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026"/>
  <workbookPr codeName="ThisWorkbook" defaultThemeVersion="124226"/>
  <mc:AlternateContent xmlns:mc="http://schemas.openxmlformats.org/markup-compatibility/2006">
    <mc:Choice Requires="x15">
      <x15ac:absPath xmlns:x15ac="http://schemas.microsoft.com/office/spreadsheetml/2010/11/ac" url="C:\Users\David\Documents\Green Blueprint\"/>
    </mc:Choice>
  </mc:AlternateContent>
  <xr:revisionPtr revIDLastSave="0" documentId="13_ncr:1_{0303F6D2-A61D-4646-A684-820849191D84}" xr6:coauthVersionLast="47" xr6:coauthVersionMax="47" xr10:uidLastSave="{00000000-0000-0000-0000-000000000000}"/>
  <bookViews>
    <workbookView xWindow="65715" yWindow="1320" windowWidth="40545" windowHeight="30945" xr2:uid="{06044268-EFEF-4112-B63D-77AE6FC96859}"/>
  </bookViews>
  <sheets>
    <sheet name="Intro" sheetId="1" r:id="rId1"/>
    <sheet name="Crop Data" sheetId="18" r:id="rId2"/>
    <sheet name="Frost &amp; Drought Analysis" sheetId="19" r:id="rId3"/>
    <sheet name="Revenue" sheetId="21" r:id="rId4"/>
    <sheet name="Costs" sheetId="22" r:id="rId5"/>
    <sheet name="Earnings" sheetId="23" r:id="rId6"/>
  </sheets>
  <calcPr calcId="191029"/>
</workbook>
</file>

<file path=xl/calcChain.xml><?xml version="1.0" encoding="utf-8"?>
<calcChain xmlns="http://schemas.openxmlformats.org/spreadsheetml/2006/main">
  <c r="M50" i="19" l="1"/>
  <c r="N50" i="19"/>
  <c r="O50" i="19"/>
  <c r="P50" i="19"/>
  <c r="Q50" i="19"/>
  <c r="R50" i="19"/>
  <c r="M51" i="19"/>
  <c r="N51" i="19"/>
  <c r="O51" i="19"/>
  <c r="P51" i="19"/>
  <c r="Q51" i="19"/>
  <c r="R51" i="19"/>
  <c r="L51" i="19"/>
  <c r="L50" i="19"/>
  <c r="F50" i="19"/>
  <c r="G50" i="19"/>
  <c r="H50" i="19"/>
  <c r="I50" i="19"/>
  <c r="J50" i="19"/>
  <c r="K50" i="19"/>
  <c r="F51" i="19"/>
  <c r="G51" i="19"/>
  <c r="H51" i="19"/>
  <c r="I51" i="19"/>
  <c r="J51" i="19"/>
  <c r="K51" i="19"/>
  <c r="E51" i="19"/>
  <c r="E50" i="19"/>
  <c r="H51" i="21"/>
  <c r="E52" i="21"/>
  <c r="E53" i="21"/>
  <c r="E54" i="21"/>
  <c r="E51" i="21"/>
  <c r="B52" i="21"/>
  <c r="B51" i="21"/>
  <c r="H26" i="21"/>
  <c r="E55" i="21" s="1"/>
  <c r="I26" i="21"/>
  <c r="H55" i="21" s="1"/>
  <c r="H27" i="21"/>
  <c r="I27" i="21"/>
  <c r="H28" i="21"/>
  <c r="I28" i="21"/>
  <c r="H53" i="21" s="1"/>
  <c r="H29" i="21"/>
  <c r="I29" i="21"/>
  <c r="H54" i="21" s="1"/>
  <c r="H30" i="21"/>
  <c r="I30" i="21"/>
  <c r="H59" i="21" s="1"/>
  <c r="H31" i="21"/>
  <c r="I31" i="21"/>
  <c r="H60" i="21" s="1"/>
  <c r="H32" i="21"/>
  <c r="I32" i="21"/>
  <c r="H33" i="21"/>
  <c r="I33" i="21"/>
  <c r="H34" i="21"/>
  <c r="I34" i="21"/>
  <c r="H63" i="21" s="1"/>
  <c r="H35" i="21"/>
  <c r="I35" i="21"/>
  <c r="H36" i="21"/>
  <c r="I36" i="21"/>
  <c r="H37" i="21"/>
  <c r="I37" i="21"/>
  <c r="H38" i="21"/>
  <c r="I38" i="21"/>
  <c r="H67" i="21" s="1"/>
  <c r="H39" i="21"/>
  <c r="I39" i="21"/>
  <c r="H68" i="21" s="1"/>
  <c r="H40" i="21"/>
  <c r="I40" i="21"/>
  <c r="H65" i="21" s="1"/>
  <c r="H41" i="21"/>
  <c r="I41" i="21"/>
  <c r="H42" i="21"/>
  <c r="I42" i="21"/>
  <c r="H43" i="21"/>
  <c r="I43" i="21"/>
  <c r="H44" i="21"/>
  <c r="I44" i="21"/>
  <c r="H25" i="21"/>
  <c r="I25" i="21"/>
  <c r="G25" i="21"/>
  <c r="E67" i="21" l="1"/>
  <c r="E69" i="21"/>
  <c r="E63" i="21"/>
  <c r="E61" i="21"/>
  <c r="E59" i="21"/>
  <c r="E70" i="21"/>
  <c r="E62" i="21"/>
  <c r="H70" i="21"/>
  <c r="H66" i="21"/>
  <c r="H62" i="21"/>
  <c r="H58" i="21"/>
  <c r="H69" i="21"/>
  <c r="H61" i="21"/>
  <c r="H57" i="21"/>
  <c r="H56" i="21"/>
  <c r="H64" i="21"/>
  <c r="H52" i="21"/>
  <c r="E57" i="21"/>
  <c r="E65" i="21"/>
  <c r="E66" i="21"/>
  <c r="E64" i="21"/>
  <c r="E60" i="21"/>
  <c r="E56" i="21"/>
  <c r="E68" i="21"/>
  <c r="E58" i="21"/>
  <c r="G27" i="22"/>
  <c r="G11" i="22"/>
  <c r="G10" i="22" l="1"/>
  <c r="G18" i="22"/>
  <c r="D52" i="23"/>
  <c r="D37" i="23"/>
  <c r="D50" i="23"/>
  <c r="D45" i="23"/>
  <c r="D47" i="23" s="1"/>
  <c r="D42" i="23"/>
  <c r="D44" i="23" s="1"/>
  <c r="G26" i="21"/>
  <c r="B53" i="21" s="1"/>
  <c r="G27" i="21"/>
  <c r="G28" i="21"/>
  <c r="G29" i="21"/>
  <c r="G30" i="21"/>
  <c r="G31" i="21"/>
  <c r="G32" i="21"/>
  <c r="G33" i="21"/>
  <c r="G34" i="21"/>
  <c r="G35" i="21"/>
  <c r="G36" i="21"/>
  <c r="G37" i="21"/>
  <c r="G38" i="21"/>
  <c r="G39" i="21"/>
  <c r="G40" i="21"/>
  <c r="B67" i="21" s="1"/>
  <c r="G41" i="21"/>
  <c r="G42" i="21"/>
  <c r="G43" i="21"/>
  <c r="G44" i="21"/>
  <c r="B61" i="21" l="1"/>
  <c r="B57" i="21"/>
  <c r="B69" i="21"/>
  <c r="B59" i="21"/>
  <c r="B56" i="21"/>
  <c r="B63" i="21"/>
  <c r="B68" i="21"/>
  <c r="B55" i="21"/>
  <c r="B60" i="21"/>
  <c r="B58" i="21"/>
  <c r="B65" i="21"/>
  <c r="B66" i="21"/>
  <c r="B64" i="21"/>
  <c r="B70" i="21"/>
  <c r="B62" i="21"/>
  <c r="B54" i="21"/>
  <c r="D46" i="23"/>
  <c r="G13" i="22"/>
  <c r="G9" i="22"/>
  <c r="G26" i="22"/>
  <c r="G29" i="22" s="1"/>
  <c r="F33" i="22"/>
  <c r="G33" i="22" s="1"/>
  <c r="F35" i="22"/>
  <c r="G35" i="22" s="1"/>
  <c r="G32" i="22"/>
  <c r="G8" i="22"/>
  <c r="G7" i="22"/>
  <c r="E12" i="22" l="1"/>
  <c r="G12" i="22" s="1"/>
  <c r="G14" i="22" s="1"/>
  <c r="G36" i="22"/>
  <c r="G23" i="22"/>
  <c r="G38" i="22" l="1"/>
  <c r="C12" i="23"/>
  <c r="C13" i="23" s="1"/>
  <c r="C14" i="23" s="1"/>
  <c r="C15" i="23" s="1"/>
  <c r="C16" i="23" s="1"/>
  <c r="C17" i="23" s="1"/>
  <c r="C18" i="23" s="1"/>
  <c r="C19" i="23" s="1"/>
  <c r="C20" i="23" s="1"/>
  <c r="C21" i="23" s="1"/>
  <c r="C22" i="23" s="1"/>
  <c r="C23" i="23" s="1"/>
  <c r="C24" i="23" s="1"/>
  <c r="C25" i="23" s="1"/>
  <c r="C26" i="23" s="1"/>
  <c r="C27" i="23" s="1"/>
  <c r="C28" i="23" s="1"/>
  <c r="C29" i="23" s="1"/>
  <c r="C30" i="23" s="1"/>
  <c r="C31" i="23" s="1"/>
  <c r="C13" i="19" l="1"/>
  <c r="B13" i="19"/>
  <c r="B162" i="18" l="1"/>
  <c r="B141" i="18"/>
  <c r="C141" i="18"/>
  <c r="D141" i="18"/>
  <c r="E141" i="18"/>
  <c r="F141" i="18"/>
  <c r="G141" i="18"/>
  <c r="B142" i="18"/>
  <c r="C142" i="18"/>
  <c r="D142" i="18"/>
  <c r="E142" i="18"/>
  <c r="F142" i="18"/>
  <c r="G142" i="18"/>
  <c r="B143" i="18"/>
  <c r="C143" i="18"/>
  <c r="D143" i="18"/>
  <c r="E143" i="18"/>
  <c r="F143" i="18"/>
  <c r="G143" i="18"/>
  <c r="B144" i="18"/>
  <c r="C144" i="18"/>
  <c r="D144" i="18"/>
  <c r="E144" i="18"/>
  <c r="F144" i="18"/>
  <c r="G144" i="18"/>
  <c r="B145" i="18"/>
  <c r="C145" i="18"/>
  <c r="D145" i="18"/>
  <c r="E145" i="18"/>
  <c r="F145" i="18"/>
  <c r="G145" i="18"/>
  <c r="B146" i="18"/>
  <c r="C146" i="18"/>
  <c r="D146" i="18"/>
  <c r="E146" i="18"/>
  <c r="F146" i="18"/>
  <c r="G146" i="18"/>
  <c r="B147" i="18"/>
  <c r="C147" i="18"/>
  <c r="D147" i="18"/>
  <c r="E147" i="18"/>
  <c r="F147" i="18"/>
  <c r="G147" i="18"/>
  <c r="B148" i="18"/>
  <c r="C148" i="18"/>
  <c r="D148" i="18"/>
  <c r="E148" i="18"/>
  <c r="F148" i="18"/>
  <c r="H148" i="18" s="1"/>
  <c r="G148" i="18"/>
  <c r="B149" i="18"/>
  <c r="C149" i="18"/>
  <c r="D149" i="18"/>
  <c r="E149" i="18"/>
  <c r="F149" i="18"/>
  <c r="G149" i="18"/>
  <c r="B150" i="18"/>
  <c r="C150" i="18"/>
  <c r="D150" i="18"/>
  <c r="E150" i="18"/>
  <c r="F150" i="18"/>
  <c r="G150" i="18"/>
  <c r="B151" i="18"/>
  <c r="C151" i="18"/>
  <c r="D151" i="18"/>
  <c r="E151" i="18"/>
  <c r="F151" i="18"/>
  <c r="G151" i="18"/>
  <c r="B152" i="18"/>
  <c r="C152" i="18"/>
  <c r="D152" i="18"/>
  <c r="E152" i="18"/>
  <c r="F152" i="18"/>
  <c r="G152" i="18"/>
  <c r="B153" i="18"/>
  <c r="C153" i="18"/>
  <c r="D153" i="18"/>
  <c r="E153" i="18"/>
  <c r="F153" i="18"/>
  <c r="G153" i="18"/>
  <c r="B154" i="18"/>
  <c r="B163" i="18" s="1"/>
  <c r="C154" i="18"/>
  <c r="D154" i="18"/>
  <c r="E154" i="18"/>
  <c r="F154" i="18"/>
  <c r="G154" i="18"/>
  <c r="B155" i="18"/>
  <c r="C155" i="18"/>
  <c r="D155" i="18"/>
  <c r="E155" i="18"/>
  <c r="F155" i="18"/>
  <c r="G155" i="18"/>
  <c r="B156" i="18"/>
  <c r="C156" i="18"/>
  <c r="D156" i="18"/>
  <c r="E156" i="18"/>
  <c r="F156" i="18"/>
  <c r="H156" i="18" s="1"/>
  <c r="G156" i="18"/>
  <c r="B157" i="18"/>
  <c r="C157" i="18"/>
  <c r="D157" i="18"/>
  <c r="E157" i="18"/>
  <c r="F157" i="18"/>
  <c r="G157" i="18"/>
  <c r="B158" i="18"/>
  <c r="C158" i="18"/>
  <c r="D158" i="18"/>
  <c r="E158" i="18"/>
  <c r="F158" i="18"/>
  <c r="G158" i="18"/>
  <c r="B159" i="18"/>
  <c r="C159" i="18"/>
  <c r="D159" i="18"/>
  <c r="E159" i="18"/>
  <c r="F159" i="18"/>
  <c r="G159" i="18"/>
  <c r="B160" i="18"/>
  <c r="C160" i="18"/>
  <c r="D160" i="18"/>
  <c r="E160" i="18"/>
  <c r="F160" i="18"/>
  <c r="H160" i="18" s="1"/>
  <c r="G160" i="18"/>
  <c r="B161" i="18"/>
  <c r="H161" i="18" s="1"/>
  <c r="C161" i="18"/>
  <c r="D161" i="18"/>
  <c r="E161" i="18"/>
  <c r="F161" i="18"/>
  <c r="G161" i="18"/>
  <c r="C140" i="18"/>
  <c r="D140" i="18"/>
  <c r="E140" i="18"/>
  <c r="F140" i="18"/>
  <c r="G140" i="18"/>
  <c r="B140" i="18"/>
  <c r="H149" i="18"/>
  <c r="B81" i="18"/>
  <c r="B60" i="18"/>
  <c r="C60" i="18"/>
  <c r="D60" i="18"/>
  <c r="E60" i="18"/>
  <c r="F60" i="18"/>
  <c r="G60" i="18"/>
  <c r="B61" i="18"/>
  <c r="C61" i="18"/>
  <c r="D61" i="18"/>
  <c r="E61" i="18"/>
  <c r="F61" i="18"/>
  <c r="G61" i="18"/>
  <c r="B62" i="18"/>
  <c r="C62" i="18"/>
  <c r="D62" i="18"/>
  <c r="E62" i="18"/>
  <c r="F62" i="18"/>
  <c r="G62" i="18"/>
  <c r="B63" i="18"/>
  <c r="C63" i="18"/>
  <c r="D63" i="18"/>
  <c r="E63" i="18"/>
  <c r="F63" i="18"/>
  <c r="G63" i="18"/>
  <c r="B64" i="18"/>
  <c r="C64" i="18"/>
  <c r="D64" i="18"/>
  <c r="E64" i="18"/>
  <c r="F64" i="18"/>
  <c r="G64" i="18"/>
  <c r="B65" i="18"/>
  <c r="C65" i="18"/>
  <c r="D65" i="18"/>
  <c r="E65" i="18"/>
  <c r="F65" i="18"/>
  <c r="G65" i="18"/>
  <c r="B66" i="18"/>
  <c r="C66" i="18"/>
  <c r="D66" i="18"/>
  <c r="E66" i="18"/>
  <c r="F66" i="18"/>
  <c r="G66" i="18"/>
  <c r="B67" i="18"/>
  <c r="C67" i="18"/>
  <c r="D67" i="18"/>
  <c r="E67" i="18"/>
  <c r="F67" i="18"/>
  <c r="G67" i="18"/>
  <c r="B68" i="18"/>
  <c r="C68" i="18"/>
  <c r="D68" i="18"/>
  <c r="E68" i="18"/>
  <c r="F68" i="18"/>
  <c r="G68" i="18"/>
  <c r="B69" i="18"/>
  <c r="C69" i="18"/>
  <c r="D69" i="18"/>
  <c r="E69" i="18"/>
  <c r="F69" i="18"/>
  <c r="G69" i="18"/>
  <c r="B70" i="18"/>
  <c r="C70" i="18"/>
  <c r="D70" i="18"/>
  <c r="E70" i="18"/>
  <c r="F70" i="18"/>
  <c r="G70" i="18"/>
  <c r="B71" i="18"/>
  <c r="C71" i="18"/>
  <c r="D71" i="18"/>
  <c r="E71" i="18"/>
  <c r="F71" i="18"/>
  <c r="G71" i="18"/>
  <c r="B72" i="18"/>
  <c r="C72" i="18"/>
  <c r="D72" i="18"/>
  <c r="E72" i="18"/>
  <c r="F72" i="18"/>
  <c r="G72" i="18"/>
  <c r="B73" i="18"/>
  <c r="C73" i="18"/>
  <c r="D73" i="18"/>
  <c r="E73" i="18"/>
  <c r="F73" i="18"/>
  <c r="G73" i="18"/>
  <c r="B74" i="18"/>
  <c r="C74" i="18"/>
  <c r="D74" i="18"/>
  <c r="E74" i="18"/>
  <c r="F74" i="18"/>
  <c r="G74" i="18"/>
  <c r="B75" i="18"/>
  <c r="C75" i="18"/>
  <c r="D75" i="18"/>
  <c r="E75" i="18"/>
  <c r="F75" i="18"/>
  <c r="G75" i="18"/>
  <c r="B76" i="18"/>
  <c r="C76" i="18"/>
  <c r="D76" i="18"/>
  <c r="E76" i="18"/>
  <c r="F76" i="18"/>
  <c r="G76" i="18"/>
  <c r="B77" i="18"/>
  <c r="C77" i="18"/>
  <c r="D77" i="18"/>
  <c r="E77" i="18"/>
  <c r="F77" i="18"/>
  <c r="B78" i="18"/>
  <c r="C78" i="18"/>
  <c r="D78" i="18"/>
  <c r="E78" i="18"/>
  <c r="F78" i="18"/>
  <c r="B79" i="18"/>
  <c r="C79" i="18"/>
  <c r="D79" i="18"/>
  <c r="E79" i="18"/>
  <c r="F79" i="18"/>
  <c r="G79" i="18"/>
  <c r="B80" i="18"/>
  <c r="C80" i="18"/>
  <c r="D80" i="18"/>
  <c r="E80" i="18"/>
  <c r="F80" i="18"/>
  <c r="G80" i="18"/>
  <c r="C59" i="18"/>
  <c r="D59" i="18"/>
  <c r="E59" i="18"/>
  <c r="F59" i="18"/>
  <c r="G59" i="18"/>
  <c r="B59" i="18"/>
  <c r="G136" i="18"/>
  <c r="F136" i="18"/>
  <c r="E136" i="18"/>
  <c r="D136" i="18"/>
  <c r="C136" i="18"/>
  <c r="B136" i="18"/>
  <c r="H134" i="18"/>
  <c r="H133" i="18"/>
  <c r="H132" i="18"/>
  <c r="H131" i="18"/>
  <c r="H130" i="18"/>
  <c r="H129" i="18"/>
  <c r="H128" i="18"/>
  <c r="H127" i="18"/>
  <c r="H126" i="18"/>
  <c r="H125" i="18"/>
  <c r="H124" i="18"/>
  <c r="H123" i="18"/>
  <c r="H122" i="18"/>
  <c r="H121" i="18"/>
  <c r="H120" i="18"/>
  <c r="H119" i="18"/>
  <c r="H118" i="18"/>
  <c r="H117" i="18"/>
  <c r="H116" i="18"/>
  <c r="H115" i="18"/>
  <c r="H114" i="18"/>
  <c r="H113" i="18"/>
  <c r="H32" i="18"/>
  <c r="H38" i="18"/>
  <c r="G55" i="18"/>
  <c r="F55" i="18"/>
  <c r="E55" i="18"/>
  <c r="D55" i="18"/>
  <c r="C55" i="18"/>
  <c r="B55" i="18"/>
  <c r="H53" i="18"/>
  <c r="H52" i="18"/>
  <c r="H51" i="18"/>
  <c r="H50" i="18"/>
  <c r="H49" i="18"/>
  <c r="H48" i="18"/>
  <c r="H47" i="18"/>
  <c r="H46" i="18"/>
  <c r="H45" i="18"/>
  <c r="H44" i="18"/>
  <c r="H43" i="18"/>
  <c r="H42" i="18"/>
  <c r="H41" i="18"/>
  <c r="H40" i="18"/>
  <c r="H39" i="18"/>
  <c r="H37" i="18"/>
  <c r="H36" i="18"/>
  <c r="H35" i="18"/>
  <c r="H34" i="18"/>
  <c r="H33" i="18"/>
  <c r="H86" i="18"/>
  <c r="H92" i="18"/>
  <c r="G109" i="18"/>
  <c r="J38" i="19" s="1"/>
  <c r="F109" i="18"/>
  <c r="I38" i="19" s="1"/>
  <c r="I39" i="19" s="1"/>
  <c r="P39" i="19" s="1"/>
  <c r="E109" i="18"/>
  <c r="H38" i="19" s="1"/>
  <c r="D109" i="18"/>
  <c r="G38" i="19" s="1"/>
  <c r="G39" i="19" s="1"/>
  <c r="N39" i="19" s="1"/>
  <c r="C109" i="18"/>
  <c r="F38" i="19" s="1"/>
  <c r="B109" i="18"/>
  <c r="E38" i="19" s="1"/>
  <c r="E40" i="19" s="1"/>
  <c r="L40" i="19" s="1"/>
  <c r="H107" i="18"/>
  <c r="H106" i="18"/>
  <c r="H105" i="18"/>
  <c r="H104" i="18"/>
  <c r="H103" i="18"/>
  <c r="H102" i="18"/>
  <c r="H101" i="18"/>
  <c r="H100" i="18"/>
  <c r="H99" i="18"/>
  <c r="H98" i="18"/>
  <c r="H97" i="18"/>
  <c r="H96" i="18"/>
  <c r="H95" i="18"/>
  <c r="H94" i="18"/>
  <c r="H93" i="18"/>
  <c r="H91" i="18"/>
  <c r="H90" i="18"/>
  <c r="H89" i="18"/>
  <c r="H88" i="18"/>
  <c r="H87" i="18"/>
  <c r="B28" i="18"/>
  <c r="E26" i="19" s="1"/>
  <c r="C28" i="18"/>
  <c r="F26" i="19" s="1"/>
  <c r="D28" i="18"/>
  <c r="G26" i="19" s="1"/>
  <c r="E28" i="18"/>
  <c r="H26" i="19" s="1"/>
  <c r="F28" i="18"/>
  <c r="I26" i="19" s="1"/>
  <c r="G28" i="18"/>
  <c r="J26" i="19" s="1"/>
  <c r="H6" i="18"/>
  <c r="H7" i="18"/>
  <c r="H8" i="18"/>
  <c r="H9" i="18"/>
  <c r="H10" i="18"/>
  <c r="H11" i="18"/>
  <c r="H12" i="18"/>
  <c r="H13" i="18"/>
  <c r="H14" i="18"/>
  <c r="H15" i="18"/>
  <c r="H16" i="18"/>
  <c r="H17" i="18"/>
  <c r="H18" i="18"/>
  <c r="H19" i="18"/>
  <c r="H20" i="18"/>
  <c r="H21" i="18"/>
  <c r="H22" i="18"/>
  <c r="H23" i="18"/>
  <c r="H24" i="18"/>
  <c r="H25" i="18"/>
  <c r="H26" i="18"/>
  <c r="H5" i="18"/>
  <c r="E46" i="19" l="1"/>
  <c r="F46" i="19"/>
  <c r="E39" i="19"/>
  <c r="L39" i="19" s="1"/>
  <c r="G46" i="19"/>
  <c r="M38" i="19"/>
  <c r="F40" i="19"/>
  <c r="M40" i="19" s="1"/>
  <c r="O38" i="19"/>
  <c r="I40" i="19"/>
  <c r="P40" i="19" s="1"/>
  <c r="P38" i="19"/>
  <c r="H39" i="19"/>
  <c r="O39" i="19" s="1"/>
  <c r="Q38" i="19"/>
  <c r="G40" i="19"/>
  <c r="N40" i="19" s="1"/>
  <c r="N38" i="19"/>
  <c r="J40" i="19"/>
  <c r="Q40" i="19" s="1"/>
  <c r="J39" i="19"/>
  <c r="Q39" i="19" s="1"/>
  <c r="H75" i="18"/>
  <c r="H71" i="18"/>
  <c r="H67" i="18"/>
  <c r="H63" i="18"/>
  <c r="H40" i="19"/>
  <c r="O40" i="19" s="1"/>
  <c r="L38" i="19"/>
  <c r="H59" i="18"/>
  <c r="H157" i="18"/>
  <c r="H153" i="18"/>
  <c r="H145" i="18"/>
  <c r="H142" i="18"/>
  <c r="H141" i="18"/>
  <c r="F39" i="19"/>
  <c r="M39" i="19" s="1"/>
  <c r="J27" i="19"/>
  <c r="J47" i="19" s="1"/>
  <c r="J46" i="19"/>
  <c r="I28" i="19"/>
  <c r="I46" i="19"/>
  <c r="H28" i="19"/>
  <c r="H48" i="19" s="1"/>
  <c r="H46" i="19"/>
  <c r="J28" i="19"/>
  <c r="N26" i="19"/>
  <c r="N46" i="19" s="1"/>
  <c r="G28" i="19"/>
  <c r="H27" i="19"/>
  <c r="I27" i="19"/>
  <c r="I47" i="19" s="1"/>
  <c r="M26" i="19"/>
  <c r="M46" i="19" s="1"/>
  <c r="E31" i="19"/>
  <c r="E30" i="19"/>
  <c r="L26" i="19"/>
  <c r="E28" i="19"/>
  <c r="E48" i="19" s="1"/>
  <c r="G27" i="19"/>
  <c r="G47" i="19" s="1"/>
  <c r="F28" i="19"/>
  <c r="P26" i="19"/>
  <c r="E27" i="19"/>
  <c r="E47" i="19" s="1"/>
  <c r="O26" i="19"/>
  <c r="Q26" i="19"/>
  <c r="F27" i="19"/>
  <c r="J31" i="19"/>
  <c r="I31" i="19"/>
  <c r="H31" i="19"/>
  <c r="G31" i="19"/>
  <c r="F31" i="19"/>
  <c r="J30" i="19"/>
  <c r="I30" i="19"/>
  <c r="H30" i="19"/>
  <c r="G30" i="19"/>
  <c r="F30" i="19"/>
  <c r="H76" i="18"/>
  <c r="D82" i="18"/>
  <c r="H72" i="18"/>
  <c r="H68" i="18"/>
  <c r="H64" i="18"/>
  <c r="H60" i="18"/>
  <c r="E163" i="18"/>
  <c r="C163" i="18"/>
  <c r="G163" i="18"/>
  <c r="H151" i="18"/>
  <c r="H150" i="18"/>
  <c r="H143" i="18"/>
  <c r="H79" i="18"/>
  <c r="H159" i="18"/>
  <c r="H158" i="18"/>
  <c r="D163" i="18"/>
  <c r="H154" i="18"/>
  <c r="F163" i="18"/>
  <c r="H147" i="18"/>
  <c r="H146" i="18"/>
  <c r="H144" i="18"/>
  <c r="H77" i="18"/>
  <c r="H74" i="18"/>
  <c r="H69" i="18"/>
  <c r="H66" i="18"/>
  <c r="H65" i="18"/>
  <c r="H61" i="18"/>
  <c r="H80" i="18"/>
  <c r="H70" i="18"/>
  <c r="H62" i="18"/>
  <c r="H78" i="18"/>
  <c r="H152" i="18"/>
  <c r="H155" i="18"/>
  <c r="H140" i="18"/>
  <c r="B82" i="18"/>
  <c r="H73" i="18"/>
  <c r="F82" i="18"/>
  <c r="E82" i="18"/>
  <c r="C82" i="18"/>
  <c r="G82" i="18"/>
  <c r="H136" i="18"/>
  <c r="H55" i="18"/>
  <c r="H109" i="18"/>
  <c r="K38" i="19" s="1"/>
  <c r="H28" i="18"/>
  <c r="P46" i="19" l="1"/>
  <c r="I49" i="19"/>
  <c r="I48" i="19"/>
  <c r="G48" i="19"/>
  <c r="G49" i="19"/>
  <c r="J48" i="19"/>
  <c r="J49" i="19" s="1"/>
  <c r="F47" i="19"/>
  <c r="F48" i="19"/>
  <c r="H47" i="19"/>
  <c r="H49" i="19" s="1"/>
  <c r="L46" i="19"/>
  <c r="Q46" i="19"/>
  <c r="O46" i="19"/>
  <c r="H52" i="19"/>
  <c r="R38" i="19"/>
  <c r="K40" i="19"/>
  <c r="R40" i="19" s="1"/>
  <c r="K39" i="19"/>
  <c r="R39" i="19" s="1"/>
  <c r="I52" i="19"/>
  <c r="G52" i="19"/>
  <c r="E49" i="19"/>
  <c r="M31" i="19"/>
  <c r="F52" i="19"/>
  <c r="I41" i="19"/>
  <c r="P41" i="19"/>
  <c r="H41" i="19"/>
  <c r="O41" i="19"/>
  <c r="M41" i="19"/>
  <c r="F41" i="19"/>
  <c r="L41" i="19"/>
  <c r="E41" i="19"/>
  <c r="N41" i="19"/>
  <c r="G41" i="19"/>
  <c r="J41" i="19"/>
  <c r="Q41" i="19"/>
  <c r="N31" i="19"/>
  <c r="N28" i="19"/>
  <c r="N48" i="19" s="1"/>
  <c r="L31" i="19"/>
  <c r="L28" i="19"/>
  <c r="L48" i="19" s="1"/>
  <c r="O28" i="19"/>
  <c r="O48" i="19" s="1"/>
  <c r="O31" i="19"/>
  <c r="Q31" i="19"/>
  <c r="Q28" i="19"/>
  <c r="Q48" i="19" s="1"/>
  <c r="P28" i="19"/>
  <c r="P48" i="19" s="1"/>
  <c r="M28" i="19"/>
  <c r="M48" i="19" s="1"/>
  <c r="P31" i="19"/>
  <c r="P27" i="19"/>
  <c r="P47" i="19" s="1"/>
  <c r="I29" i="19"/>
  <c r="L30" i="19"/>
  <c r="E32" i="19"/>
  <c r="Q30" i="19"/>
  <c r="J32" i="19"/>
  <c r="M30" i="19"/>
  <c r="F32" i="19"/>
  <c r="Q27" i="19"/>
  <c r="Q47" i="19" s="1"/>
  <c r="J29" i="19"/>
  <c r="M27" i="19"/>
  <c r="M47" i="19" s="1"/>
  <c r="F29" i="19"/>
  <c r="N30" i="19"/>
  <c r="G32" i="19"/>
  <c r="N27" i="19"/>
  <c r="N47" i="19" s="1"/>
  <c r="G29" i="19"/>
  <c r="O30" i="19"/>
  <c r="H32" i="19"/>
  <c r="L27" i="19"/>
  <c r="L47" i="19" s="1"/>
  <c r="E29" i="19"/>
  <c r="O27" i="19"/>
  <c r="O47" i="19" s="1"/>
  <c r="H29" i="19"/>
  <c r="P30" i="19"/>
  <c r="I32" i="19"/>
  <c r="H82" i="18"/>
  <c r="D14" i="21"/>
  <c r="K26" i="19"/>
  <c r="K46" i="19" s="1"/>
  <c r="D15" i="21"/>
  <c r="H163" i="18"/>
  <c r="X14" i="18"/>
  <c r="Y14" i="18"/>
  <c r="Z14" i="18"/>
  <c r="AA14" i="18"/>
  <c r="AB14" i="18"/>
  <c r="W14" i="18"/>
  <c r="AC7" i="18"/>
  <c r="AD7" i="18" s="1"/>
  <c r="AC8" i="18"/>
  <c r="AD8" i="18" s="1"/>
  <c r="AC9" i="18"/>
  <c r="AD9" i="18" s="1"/>
  <c r="AC10" i="18"/>
  <c r="AD10" i="18" s="1"/>
  <c r="AC11" i="18"/>
  <c r="AD11" i="18" s="1"/>
  <c r="AC12" i="18"/>
  <c r="AD12" i="18" s="1"/>
  <c r="AC13" i="18"/>
  <c r="AD13" i="18" s="1"/>
  <c r="AC6" i="18"/>
  <c r="AD6" i="18" s="1"/>
  <c r="G53" i="19" l="1"/>
  <c r="I53" i="19"/>
  <c r="J52" i="19"/>
  <c r="J53" i="19" s="1"/>
  <c r="F49" i="19"/>
  <c r="E52" i="19"/>
  <c r="E53" i="19" s="1"/>
  <c r="H53" i="19"/>
  <c r="I52" i="21"/>
  <c r="J52" i="21" s="1"/>
  <c r="I53" i="21"/>
  <c r="J53" i="21" s="1"/>
  <c r="C51" i="21"/>
  <c r="D51" i="21" s="1"/>
  <c r="I51" i="21"/>
  <c r="J51" i="21" s="1"/>
  <c r="I54" i="21"/>
  <c r="J54" i="21" s="1"/>
  <c r="I64" i="21"/>
  <c r="J64" i="21" s="1"/>
  <c r="I58" i="21"/>
  <c r="J58" i="21" s="1"/>
  <c r="I57" i="21"/>
  <c r="J57" i="21" s="1"/>
  <c r="I68" i="21"/>
  <c r="J68" i="21" s="1"/>
  <c r="I70" i="21"/>
  <c r="J70" i="21" s="1"/>
  <c r="I60" i="21"/>
  <c r="J60" i="21" s="1"/>
  <c r="I56" i="21"/>
  <c r="J56" i="21" s="1"/>
  <c r="I63" i="21"/>
  <c r="J63" i="21" s="1"/>
  <c r="I59" i="21"/>
  <c r="J59" i="21" s="1"/>
  <c r="I55" i="21"/>
  <c r="J55" i="21" s="1"/>
  <c r="I62" i="21"/>
  <c r="J62" i="21" s="1"/>
  <c r="I66" i="21"/>
  <c r="J66" i="21" s="1"/>
  <c r="I67" i="21"/>
  <c r="J67" i="21" s="1"/>
  <c r="I61" i="21"/>
  <c r="J61" i="21" s="1"/>
  <c r="C52" i="21"/>
  <c r="D52" i="21" s="1"/>
  <c r="I69" i="21"/>
  <c r="J69" i="21" s="1"/>
  <c r="I65" i="21"/>
  <c r="J65" i="21" s="1"/>
  <c r="F53" i="19"/>
  <c r="L49" i="19"/>
  <c r="L52" i="19"/>
  <c r="N49" i="19"/>
  <c r="N52" i="19"/>
  <c r="M49" i="19"/>
  <c r="P49" i="19"/>
  <c r="Q49" i="19"/>
  <c r="O52" i="19"/>
  <c r="P52" i="19"/>
  <c r="M52" i="19"/>
  <c r="H33" i="19"/>
  <c r="O49" i="19"/>
  <c r="Q52" i="19"/>
  <c r="R26" i="19"/>
  <c r="R46" i="19" s="1"/>
  <c r="K28" i="19"/>
  <c r="K48" i="19" s="1"/>
  <c r="K27" i="19"/>
  <c r="K47" i="19" s="1"/>
  <c r="E33" i="19"/>
  <c r="F33" i="19"/>
  <c r="I33" i="19"/>
  <c r="J33" i="19"/>
  <c r="G33" i="19"/>
  <c r="N29" i="19"/>
  <c r="P32" i="19"/>
  <c r="N32" i="19"/>
  <c r="Q32" i="19"/>
  <c r="O29" i="19"/>
  <c r="M32" i="19"/>
  <c r="L29" i="19"/>
  <c r="M29" i="19"/>
  <c r="L32" i="19"/>
  <c r="O32" i="19"/>
  <c r="Q29" i="19"/>
  <c r="P29" i="19"/>
  <c r="K31" i="19"/>
  <c r="K30" i="19"/>
  <c r="C54" i="21"/>
  <c r="C63" i="21"/>
  <c r="C64" i="21"/>
  <c r="C61" i="21"/>
  <c r="C66" i="21"/>
  <c r="C70" i="21"/>
  <c r="C68" i="21"/>
  <c r="C58" i="21"/>
  <c r="C59" i="21"/>
  <c r="C60" i="21"/>
  <c r="C62" i="21"/>
  <c r="C55" i="21"/>
  <c r="C69" i="21"/>
  <c r="C56" i="21"/>
  <c r="C53" i="21"/>
  <c r="C65" i="21"/>
  <c r="C67" i="21"/>
  <c r="C57" i="21"/>
  <c r="F67" i="21"/>
  <c r="G67" i="21" s="1"/>
  <c r="F55" i="21"/>
  <c r="G55" i="21" s="1"/>
  <c r="F59" i="21"/>
  <c r="G59" i="21" s="1"/>
  <c r="F70" i="21"/>
  <c r="G70" i="21" s="1"/>
  <c r="F65" i="21"/>
  <c r="G65" i="21" s="1"/>
  <c r="F68" i="21"/>
  <c r="G68" i="21" s="1"/>
  <c r="F56" i="21"/>
  <c r="G56" i="21" s="1"/>
  <c r="F60" i="21"/>
  <c r="G60" i="21" s="1"/>
  <c r="F58" i="21"/>
  <c r="G58" i="21" s="1"/>
  <c r="F57" i="21"/>
  <c r="G57" i="21" s="1"/>
  <c r="F64" i="21"/>
  <c r="G64" i="21" s="1"/>
  <c r="F62" i="21"/>
  <c r="G62" i="21" s="1"/>
  <c r="F61" i="21"/>
  <c r="G61" i="21" s="1"/>
  <c r="F66" i="21"/>
  <c r="G66" i="21" s="1"/>
  <c r="F69" i="21"/>
  <c r="G69" i="21" s="1"/>
  <c r="F63" i="21"/>
  <c r="G63" i="21" s="1"/>
  <c r="AC14" i="18"/>
  <c r="AD14" i="18" s="1"/>
  <c r="K51" i="21" l="1"/>
  <c r="B12" i="23" s="1"/>
  <c r="D12" i="23" s="1"/>
  <c r="E12" i="23" s="1"/>
  <c r="F12" i="23" s="1"/>
  <c r="G12" i="23" s="1"/>
  <c r="N53" i="19"/>
  <c r="L53" i="19"/>
  <c r="P53" i="19"/>
  <c r="K49" i="19"/>
  <c r="M53" i="19"/>
  <c r="Q53" i="19"/>
  <c r="O53" i="19"/>
  <c r="K52" i="19"/>
  <c r="K53" i="19" s="1"/>
  <c r="M33" i="19"/>
  <c r="P33" i="19"/>
  <c r="R41" i="19"/>
  <c r="E7" i="19" s="1"/>
  <c r="K41" i="19"/>
  <c r="E6" i="19" s="1"/>
  <c r="N33" i="19"/>
  <c r="O33" i="19"/>
  <c r="Q33" i="19"/>
  <c r="L33" i="19"/>
  <c r="R31" i="19"/>
  <c r="R28" i="19"/>
  <c r="R48" i="19" s="1"/>
  <c r="R27" i="19"/>
  <c r="R47" i="19" s="1"/>
  <c r="K29" i="19"/>
  <c r="C6" i="19" s="1"/>
  <c r="R30" i="19"/>
  <c r="K32" i="19"/>
  <c r="D6" i="19" s="1"/>
  <c r="D62" i="21"/>
  <c r="D67" i="21"/>
  <c r="D59" i="21"/>
  <c r="D54" i="21"/>
  <c r="D63" i="21"/>
  <c r="D65" i="21"/>
  <c r="D58" i="21"/>
  <c r="D60" i="21"/>
  <c r="D53" i="21"/>
  <c r="D68" i="21"/>
  <c r="D56" i="21"/>
  <c r="D70" i="21"/>
  <c r="D57" i="21"/>
  <c r="D69" i="21"/>
  <c r="D66" i="21"/>
  <c r="D64" i="21"/>
  <c r="D55" i="21"/>
  <c r="D61" i="21"/>
  <c r="K53" i="21" l="1"/>
  <c r="K64" i="21"/>
  <c r="B25" i="23" s="1"/>
  <c r="D25" i="23" s="1"/>
  <c r="E25" i="23" s="1"/>
  <c r="F25" i="23" s="1"/>
  <c r="K63" i="21"/>
  <c r="B24" i="23" s="1"/>
  <c r="D24" i="23" s="1"/>
  <c r="E24" i="23" s="1"/>
  <c r="F24" i="23" s="1"/>
  <c r="K68" i="21"/>
  <c r="B29" i="23" s="1"/>
  <c r="D29" i="23" s="1"/>
  <c r="E29" i="23" s="1"/>
  <c r="F29" i="23" s="1"/>
  <c r="K58" i="21"/>
  <c r="K59" i="21"/>
  <c r="B20" i="23" s="1"/>
  <c r="D20" i="23" s="1"/>
  <c r="E20" i="23" s="1"/>
  <c r="F20" i="23" s="1"/>
  <c r="K61" i="21"/>
  <c r="B22" i="23" s="1"/>
  <c r="D22" i="23" s="1"/>
  <c r="E22" i="23" s="1"/>
  <c r="F22" i="23" s="1"/>
  <c r="K66" i="21"/>
  <c r="B27" i="23" s="1"/>
  <c r="D27" i="23" s="1"/>
  <c r="E27" i="23" s="1"/>
  <c r="F27" i="23" s="1"/>
  <c r="K55" i="21"/>
  <c r="K65" i="21"/>
  <c r="B26" i="23" s="1"/>
  <c r="D26" i="23" s="1"/>
  <c r="E26" i="23" s="1"/>
  <c r="F26" i="23" s="1"/>
  <c r="K67" i="21"/>
  <c r="B28" i="23" s="1"/>
  <c r="D28" i="23" s="1"/>
  <c r="E28" i="23" s="1"/>
  <c r="F28" i="23" s="1"/>
  <c r="K56" i="21"/>
  <c r="B8" i="21" s="1"/>
  <c r="K54" i="21"/>
  <c r="B7" i="21" s="1"/>
  <c r="K52" i="21"/>
  <c r="R49" i="19"/>
  <c r="R52" i="19"/>
  <c r="K33" i="19"/>
  <c r="R32" i="19"/>
  <c r="D7" i="19" s="1"/>
  <c r="R29" i="19"/>
  <c r="C7" i="19" s="1"/>
  <c r="K57" i="21"/>
  <c r="K69" i="21"/>
  <c r="B30" i="23" s="1"/>
  <c r="D30" i="23" s="1"/>
  <c r="E30" i="23" s="1"/>
  <c r="F30" i="23" s="1"/>
  <c r="K70" i="21"/>
  <c r="B31" i="23" s="1"/>
  <c r="D31" i="23" s="1"/>
  <c r="E31" i="23" s="1"/>
  <c r="F31" i="23" s="1"/>
  <c r="K60" i="21"/>
  <c r="K62" i="21"/>
  <c r="G27" i="23" l="1"/>
  <c r="G30" i="23"/>
  <c r="G20" i="23"/>
  <c r="G29" i="23"/>
  <c r="G28" i="23"/>
  <c r="G24" i="23"/>
  <c r="G31" i="23"/>
  <c r="G25" i="23"/>
  <c r="G22" i="23"/>
  <c r="G26" i="23"/>
  <c r="B23" i="23"/>
  <c r="D23" i="23" s="1"/>
  <c r="E23" i="23" s="1"/>
  <c r="F23" i="23" s="1"/>
  <c r="B11" i="21"/>
  <c r="B21" i="23"/>
  <c r="D21" i="23" s="1"/>
  <c r="E21" i="23" s="1"/>
  <c r="F21" i="23" s="1"/>
  <c r="B10" i="21"/>
  <c r="B19" i="23"/>
  <c r="D19" i="23" s="1"/>
  <c r="E19" i="23" s="1"/>
  <c r="F19" i="23" s="1"/>
  <c r="B9" i="21"/>
  <c r="B13" i="23"/>
  <c r="D13" i="23" s="1"/>
  <c r="B6" i="21"/>
  <c r="B15" i="23"/>
  <c r="D15" i="23" s="1"/>
  <c r="E15" i="23" s="1"/>
  <c r="F15" i="23" s="1"/>
  <c r="B17" i="23"/>
  <c r="B18" i="23"/>
  <c r="D18" i="23" s="1"/>
  <c r="E18" i="23" s="1"/>
  <c r="F18" i="23" s="1"/>
  <c r="B16" i="23"/>
  <c r="D16" i="23" s="1"/>
  <c r="E16" i="23" s="1"/>
  <c r="F16" i="23" s="1"/>
  <c r="B14" i="23"/>
  <c r="D14" i="23" s="1"/>
  <c r="E14" i="23" s="1"/>
  <c r="F14" i="23" s="1"/>
  <c r="R53" i="19"/>
  <c r="R33" i="19"/>
  <c r="E13" i="23" l="1"/>
  <c r="F13" i="23" s="1"/>
  <c r="G18" i="23"/>
  <c r="G23" i="23"/>
  <c r="G21" i="23"/>
  <c r="G15" i="23"/>
  <c r="G16" i="23"/>
  <c r="G14" i="23"/>
  <c r="G19" i="23"/>
  <c r="D17" i="23"/>
  <c r="E17" i="23" s="1"/>
  <c r="F17" i="23" s="1"/>
  <c r="D49" i="23"/>
  <c r="D51" i="23" s="1"/>
  <c r="D53" i="23" s="1"/>
  <c r="D54" i="23" s="1"/>
  <c r="G13" i="23" l="1"/>
  <c r="G17" i="23"/>
  <c r="D58" i="23" l="1"/>
  <c r="D59" i="23" s="1"/>
  <c r="D34" i="23"/>
  <c r="D38" i="23" s="1"/>
  <c r="D39" i="2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David</author>
  </authors>
  <commentList>
    <comment ref="D3" authorId="0" shapeId="0" xr:uid="{BD49FB1E-10D2-4D3C-AEBE-FB70A1D74D03}">
      <text>
        <r>
          <rPr>
            <sz val="9"/>
            <color indexed="81"/>
            <rFont val="Tahoma"/>
            <family val="2"/>
          </rPr>
          <t xml:space="preserve">2022: 
GIWA estimates for WA -- https://www.giwa.org.au/wa-crop-reports/2022-season/giwa-crop-report-november-2022/
2021: 
ABS -- https://www.abs.gov.au/statistics/industry/agriculture/agricultural-commodities-australia/latest-release#data-download
2020: 
ABS -- https://www.abs.gov.au/statistics/industry/agriculture/agricultural-commodities-australia/2019-20#data-download
Up to 2019: 
ABS, via Via Bob Cason's site -- http://members.iinet.net.au/~rgcason/cropsa/wheatpxstait/wheatpxstate.html
</t>
        </r>
      </text>
    </comment>
    <comment ref="X3" authorId="0" shapeId="0" xr:uid="{F18E1F2B-D895-49CD-9892-00DD6B8C192B}">
      <text>
        <r>
          <rPr>
            <sz val="9"/>
            <color indexed="81"/>
            <rFont val="Tahoma"/>
            <family val="2"/>
          </rPr>
          <t xml:space="preserve">Bill Crabtree for data to 2021
GIWA for 2022 Production estimates
GIWA estimates for WA -- https://www.giwa.org.au/wa-crop-reports/2022-season/giwa-crop-report-november-2022/
</t>
        </r>
      </text>
    </comment>
    <comment ref="A28" authorId="0" shapeId="0" xr:uid="{90F22C28-BC62-424F-9E55-4460D1E916CE}">
      <text>
        <r>
          <rPr>
            <sz val="9"/>
            <color indexed="81"/>
            <rFont val="Tahoma"/>
            <family val="2"/>
          </rPr>
          <t>average of last 10 years
Do not include years with no data yet.</t>
        </r>
      </text>
    </comment>
    <comment ref="D30" authorId="0" shapeId="0" xr:uid="{E8BB8321-8700-4002-8402-D9B5872A1A62}">
      <text>
        <r>
          <rPr>
            <sz val="9"/>
            <color indexed="81"/>
            <rFont val="Tahoma"/>
            <family val="2"/>
          </rPr>
          <t xml:space="preserve">2022: 
GIWA estimates for WA -- https://www.giwa.org.au/wa-crop-reports/2022-season/giwa-crop-report-may-2022/
2021: 
ABS -- https://www.abs.gov.au/statistics/industry/agriculture/agricultural-commodities-australia/latest-release#data-download
2020: 
ABS -- https://www.abs.gov.au/statistics/industry/agriculture/agricultural-commodities-australia/2019-20#data-download
Up to 2019: 
ABS, via Via Bob Cason's site -- http://members.iinet.net.au/~rgcason/cropsa/wheatxstait/wheataxstate.html
</t>
        </r>
      </text>
    </comment>
    <comment ref="A55" authorId="0" shapeId="0" xr:uid="{79DBC152-7673-43DF-ADF1-9B9F39B4AF45}">
      <text>
        <r>
          <rPr>
            <sz val="9"/>
            <color indexed="81"/>
            <rFont val="Tahoma"/>
            <family val="2"/>
          </rPr>
          <t>average of last 10 years
Do not include years with no data yet.</t>
        </r>
      </text>
    </comment>
    <comment ref="A82" authorId="0" shapeId="0" xr:uid="{445C8953-B5CA-4CFB-9A11-7F4074E45190}">
      <text>
        <r>
          <rPr>
            <sz val="9"/>
            <color indexed="81"/>
            <rFont val="Tahoma"/>
            <family val="2"/>
          </rPr>
          <t>average of last 10 years
Do not include years with no data yet.</t>
        </r>
      </text>
    </comment>
    <comment ref="D84" authorId="0" shapeId="0" xr:uid="{AE43652E-86C6-4852-AC49-E4BF43C8E710}">
      <text>
        <r>
          <rPr>
            <sz val="9"/>
            <color indexed="81"/>
            <rFont val="Tahoma"/>
            <family val="2"/>
          </rPr>
          <t xml:space="preserve">2022: 
GIWA estimates for WA -- https://www.giwa.org.au/wa-crop-reports/2022-season/giwa-crop-report-november-2022/
2021: 
ABS -- https://www.abs.gov.au/statistics/industry/agriculture/agricultural-commodities-australia/latest-release#data-download
2020: 
ABS -- https://www.abs.gov.au/statistics/industry/agriculture/agricultural-commodities-australia/2019-20#data-download
Up to 2019: 
ABS, via Via Bob Cason's site -- http://members.iinet.net.au/~rgcason/cropsa/barleypxstait/barlypxstate.html
</t>
        </r>
      </text>
    </comment>
    <comment ref="A109" authorId="0" shapeId="0" xr:uid="{04AD15BE-EC65-4DB9-A0FD-EF818077AA3F}">
      <text>
        <r>
          <rPr>
            <sz val="9"/>
            <color indexed="81"/>
            <rFont val="Tahoma"/>
            <family val="2"/>
          </rPr>
          <t>average of last 10 years
Do not include years with no data yet.</t>
        </r>
      </text>
    </comment>
    <comment ref="D111" authorId="0" shapeId="0" xr:uid="{68D5FFD8-F541-4466-A9DE-FB10DCA7CC80}">
      <text>
        <r>
          <rPr>
            <sz val="9"/>
            <color indexed="81"/>
            <rFont val="Tahoma"/>
            <family val="2"/>
          </rPr>
          <t xml:space="preserve">2022: 
GIWA estimates for WA -- https://www.giwa.org.au/wa-crop-reports/2022-season/giwa-crop-report-may-2022/
2021: 
ABS -- https://www.abs.gov.au/statistics/industry/agriculture/agricultural-commodities-australia/latest-release#data-download
2020: 
ABS -- https://www.abs.gov.au/statistics/industry/agriculture/agricultural-commodities-australia/2019-20#data-download
Up to 2019: 
ABS, via Via Bob Cason's site -- http://members.iinet.net.au/~rgcason/cropsa/crops.html#wheatv
</t>
        </r>
      </text>
    </comment>
    <comment ref="A136" authorId="0" shapeId="0" xr:uid="{29E2C8FD-06E4-4E44-8C3C-674611BFDC81}">
      <text>
        <r>
          <rPr>
            <sz val="9"/>
            <color indexed="81"/>
            <rFont val="Tahoma"/>
            <family val="2"/>
          </rPr>
          <t>average of last 10 years
Do not include years with no data yet.</t>
        </r>
      </text>
    </comment>
    <comment ref="A163" authorId="0" shapeId="0" xr:uid="{446562A6-213B-4BE0-919A-5F00A0BD3330}">
      <text>
        <r>
          <rPr>
            <sz val="9"/>
            <color indexed="81"/>
            <rFont val="Tahoma"/>
            <family val="2"/>
          </rPr>
          <t>average of last 10 years
Do not include years with no data yet.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David</author>
  </authors>
  <commentList>
    <comment ref="B23" authorId="0" shapeId="0" xr:uid="{F0CA20D5-C0B0-4FC1-9379-B39A48325050}">
      <text>
        <r>
          <rPr>
            <sz val="9"/>
            <color indexed="81"/>
            <rFont val="Tahoma"/>
            <family val="2"/>
          </rPr>
          <t>Similar to historical adoption of no-till  but peaks at 60% uptake</t>
        </r>
      </text>
    </comment>
    <comment ref="C23" authorId="0" shapeId="0" xr:uid="{765D0ADF-113F-47E2-B8D7-23F16190307D}">
      <text>
        <r>
          <rPr>
            <sz val="9"/>
            <color indexed="81"/>
            <rFont val="Tahoma"/>
            <family val="2"/>
          </rPr>
          <t>Between no-till (which is too slow, because adopting no-till required buying equipment and changing methods) and Mace (which was simple and rapid, but only gave a 7% yield lift).</t>
        </r>
      </text>
    </comment>
    <comment ref="D23" authorId="0" shapeId="0" xr:uid="{9B49843F-D7CC-4AF5-BCA3-361367803087}">
      <text>
        <r>
          <rPr>
            <sz val="9"/>
            <color indexed="81"/>
            <rFont val="Tahoma"/>
            <family val="2"/>
          </rPr>
          <t xml:space="preserve">Mace wheat had a faster adoption rate than no-till, and its yield lift was only 7%, but it didn't require special machinery and changes to practices.
MACE uptake shown here:
https://www.agric.wa.gov.au/sites/gateway/files/Wheat%20variety%20fact%20sheets%20for%20Western%20Australia%20-%20pdf.pdf
</t>
        </r>
      </text>
    </comment>
    <comment ref="E23" authorId="0" shapeId="0" xr:uid="{56231580-D622-4BC0-B618-CB709F9C8E31}">
      <text>
        <r>
          <rPr>
            <sz val="9"/>
            <color indexed="81"/>
            <rFont val="Tahoma"/>
            <family val="2"/>
          </rPr>
          <t>Enter your own numbers to make your own adotpion curve.
("Paste by value" if pasting in numbers.)</t>
        </r>
      </text>
    </comment>
    <comment ref="F46" authorId="0" shapeId="0" xr:uid="{3A3B1192-A74F-495D-B8F5-FCB79CE7E8CE}">
      <text>
        <r>
          <rPr>
            <sz val="9"/>
            <color indexed="81"/>
            <rFont val="Tahoma"/>
            <family val="2"/>
          </rPr>
          <t>The year to apply year 1 of the adopton curve.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David</author>
  </authors>
  <commentList>
    <comment ref="A11" authorId="0" shapeId="0" xr:uid="{A2D6169E-7342-429F-992F-8FC90BE72098}">
      <text>
        <r>
          <rPr>
            <sz val="9"/>
            <color indexed="81"/>
            <rFont val="Tahoma"/>
            <family val="2"/>
          </rPr>
          <t xml:space="preserve">Field trials over 2 years, 2 sites per year and associated phenotyping costs for frost resistance of AFP genotypes (versus controls). </t>
        </r>
      </text>
    </comment>
    <comment ref="D27" authorId="0" shapeId="0" xr:uid="{E601D5B1-04AF-46C3-9364-8A6F747FED91}">
      <text>
        <r>
          <rPr>
            <sz val="9"/>
            <color indexed="81"/>
            <rFont val="Tahoma"/>
            <family val="2"/>
          </rPr>
          <t>Consultant to assist with seed business, distribution, EPR/closed loop, marketing etc. for both AFP varieties (and some input into HB4 variety management etc.).
Suggest Brent Whittaker, Nuseed Global Market Development Manager &amp; Regal Grange board member -- Jon C.</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David</author>
  </authors>
  <commentList>
    <comment ref="D5" authorId="0" shapeId="0" xr:uid="{F01058AE-088F-4143-B505-8A7483FB9115}">
      <text>
        <r>
          <rPr>
            <sz val="9"/>
            <color indexed="81"/>
            <rFont val="Tahoma"/>
            <family val="2"/>
          </rPr>
          <t>If the two current classes of shares (A and B) are merged as proposed, there will be 2.77 million new shares. We expect to sell more share to raise capital, taking the total to perhaps 3.5 million new shares.</t>
        </r>
      </text>
    </comment>
    <comment ref="C7" authorId="0" shapeId="0" xr:uid="{084B3C64-BE26-4E5E-8EE4-A1EBF3C7C56A}">
      <text>
        <r>
          <rPr>
            <sz val="9"/>
            <color indexed="81"/>
            <rFont val="Tahoma"/>
            <family val="2"/>
          </rPr>
          <t>The amount by which an investor values having something now over having it in a year's time. 
The rate at which the future is discounted. 
Typical value: 8%</t>
        </r>
      </text>
    </comment>
    <comment ref="B10" authorId="0" shapeId="0" xr:uid="{7AF047C1-394B-45DA-A564-4211E7FA243D}">
      <text>
        <r>
          <rPr>
            <sz val="9"/>
            <color indexed="81"/>
            <rFont val="Tahoma"/>
            <family val="2"/>
          </rPr>
          <t>See the "Revenue" sheet.</t>
        </r>
      </text>
    </comment>
    <comment ref="C10" authorId="0" shapeId="0" xr:uid="{329FB8EE-7EFD-4338-BEE1-8DBF71359B97}">
      <text>
        <r>
          <rPr>
            <sz val="9"/>
            <color indexed="81"/>
            <rFont val="Tahoma"/>
            <family val="2"/>
          </rPr>
          <t>See the "Costs" sheet.</t>
        </r>
      </text>
    </comment>
    <comment ref="D10" authorId="0" shapeId="0" xr:uid="{C19ECEC8-9704-4902-9AAA-75DA88C8E5B5}">
      <text>
        <r>
          <rPr>
            <sz val="9"/>
            <color indexed="81"/>
            <rFont val="Tahoma"/>
            <family val="2"/>
          </rPr>
          <t>Aka "operating profit".
Since there is no interest, deprceiatiion, or amortization, it is also equal to EBIT and EBITDA.</t>
        </r>
      </text>
    </comment>
    <comment ref="E10" authorId="0" shapeId="0" xr:uid="{BA494367-7741-4FBE-8098-6911944D21FC}">
      <text>
        <r>
          <rPr>
            <sz val="9"/>
            <color indexed="81"/>
            <rFont val="Tahoma"/>
            <family val="2"/>
          </rPr>
          <t>Aka "(net) income".
After tax.</t>
        </r>
      </text>
    </comment>
    <comment ref="F10" authorId="0" shapeId="0" xr:uid="{7F4D67AD-1D3A-4A59-A888-22D67B4C60F6}">
      <text>
        <r>
          <rPr>
            <sz val="9"/>
            <color indexed="81"/>
            <rFont val="Tahoma"/>
            <family val="2"/>
          </rPr>
          <t xml:space="preserve">Earnings per share, after tax
</t>
        </r>
      </text>
    </comment>
    <comment ref="G10" authorId="0" shapeId="0" xr:uid="{D9152D45-3E9C-4435-9FF0-FA7FF2BD2896}">
      <text>
        <r>
          <rPr>
            <sz val="9"/>
            <color indexed="81"/>
            <rFont val="Tahoma"/>
            <family val="2"/>
          </rPr>
          <t>Net present value of the earnings per Class B share.
That is, the current value of future profit per Class B share.</t>
        </r>
      </text>
    </comment>
    <comment ref="A35" authorId="0" shapeId="0" xr:uid="{8C3C4B28-6C43-41CC-862E-B4EAF4350440}">
      <text>
        <r>
          <rPr>
            <sz val="9"/>
            <color indexed="81"/>
            <rFont val="Tahoma"/>
            <family val="2"/>
          </rPr>
          <t>Market average price to earnings (PE) ratio for the past two decades has been about 20.
A biotech stock would typically command a higher PE, maybe 40, if it had good growth prospects. For GB, this would depend on developing something after AFP.</t>
        </r>
      </text>
    </comment>
    <comment ref="C38" authorId="0" shapeId="0" xr:uid="{F2BCC05A-AE95-46CA-8B1A-F0A026EA726C}">
      <text>
        <r>
          <rPr>
            <sz val="9"/>
            <color indexed="81"/>
            <rFont val="Tahoma"/>
            <family val="2"/>
          </rPr>
          <t>Value of a Class B share.</t>
        </r>
      </text>
    </comment>
    <comment ref="C53" authorId="0" shapeId="0" xr:uid="{04A2A955-3C4B-4869-B963-9308AB7BFC8D}">
      <text>
        <r>
          <rPr>
            <sz val="9"/>
            <color indexed="81"/>
            <rFont val="Tahoma"/>
            <family val="2"/>
          </rPr>
          <t>Price of a Class B share, assuming GB in 2028 - 2030 will be in simiilar position to Biioceres now. Very rough.</t>
        </r>
      </text>
    </comment>
    <comment ref="C58" authorId="0" shapeId="0" xr:uid="{A5E13A81-BFD7-48A9-AC60-3C34D2EC1733}">
      <text>
        <r>
          <rPr>
            <sz val="9"/>
            <color indexed="81"/>
            <rFont val="Tahoma"/>
            <family val="2"/>
          </rPr>
          <t>Value of a Class B share.</t>
        </r>
      </text>
    </comment>
  </commentList>
</comments>
</file>

<file path=xl/sharedStrings.xml><?xml version="1.0" encoding="utf-8"?>
<sst xmlns="http://schemas.openxmlformats.org/spreadsheetml/2006/main" count="327" uniqueCount="154">
  <si>
    <t>Introduction</t>
  </si>
  <si>
    <t>Year</t>
  </si>
  <si>
    <t>Western Australia</t>
  </si>
  <si>
    <t>Crop Data</t>
  </si>
  <si>
    <t>Wheat</t>
  </si>
  <si>
    <t>Barley</t>
  </si>
  <si>
    <t>Canola</t>
  </si>
  <si>
    <t>Oats</t>
  </si>
  <si>
    <t>Lupins</t>
  </si>
  <si>
    <t>Pulses</t>
  </si>
  <si>
    <t>Other
(All but wheat)</t>
  </si>
  <si>
    <t>Total</t>
  </si>
  <si>
    <t>average</t>
  </si>
  <si>
    <t>Western Australia, Production</t>
  </si>
  <si>
    <t>'000 tonnes</t>
  </si>
  <si>
    <t>NSW</t>
  </si>
  <si>
    <t>Victoria</t>
  </si>
  <si>
    <t>Queens-land</t>
  </si>
  <si>
    <t>South Australia</t>
  </si>
  <si>
    <t>Tasmania</t>
  </si>
  <si>
    <t>Australia</t>
  </si>
  <si>
    <t>Wheat Production ('000 tonnes)</t>
  </si>
  <si>
    <t>avg10</t>
  </si>
  <si>
    <t>Barley Production ('000 tonnes)</t>
  </si>
  <si>
    <t>Wheat Area ('000 hectares)</t>
  </si>
  <si>
    <t>Barley Area ('000 hectares)</t>
  </si>
  <si>
    <t>Wheat Yield (tonnes per hectare)</t>
  </si>
  <si>
    <t>Barley Yield (tonnes per hectare)</t>
  </si>
  <si>
    <t>Direct</t>
  </si>
  <si>
    <t>Indirect</t>
  </si>
  <si>
    <t>Yield Loss Due to Frost Damage</t>
  </si>
  <si>
    <t>WA</t>
  </si>
  <si>
    <t>Vic</t>
  </si>
  <si>
    <t>Qld</t>
  </si>
  <si>
    <t>SA</t>
  </si>
  <si>
    <t>Tas</t>
  </si>
  <si>
    <t>Wheat and Barley Combined</t>
  </si>
  <si>
    <t>Assumptions</t>
  </si>
  <si>
    <t>AUD</t>
  </si>
  <si>
    <t>Annual wheat production</t>
  </si>
  <si>
    <t>Annual barley production</t>
  </si>
  <si>
    <t>%</t>
  </si>
  <si>
    <t>EPR for HB4</t>
  </si>
  <si>
    <t>GB share of EPR for HB4</t>
  </si>
  <si>
    <t>EPR to GB from AFP in Barley</t>
  </si>
  <si>
    <t>EPR to GB from HB4 in Wheat</t>
  </si>
  <si>
    <t>AUD m</t>
  </si>
  <si>
    <t>EPR to GB from AFP
in Wheat</t>
  </si>
  <si>
    <t>End Point Royalty (EPR) for AFP</t>
  </si>
  <si>
    <t>Revenue Projection</t>
  </si>
  <si>
    <t xml:space="preserve">Total
EPR to GB </t>
  </si>
  <si>
    <t>Mace</t>
  </si>
  <si>
    <t>Yield Loss Due to Drought</t>
  </si>
  <si>
    <t>With HB4
%</t>
  </si>
  <si>
    <t>No HB4
%</t>
  </si>
  <si>
    <t>No AFP
%</t>
  </si>
  <si>
    <t>With AFP
%</t>
  </si>
  <si>
    <t>Frost &amp; Drought Analysis</t>
  </si>
  <si>
    <t>Grain Prices</t>
  </si>
  <si>
    <t>AUD / t</t>
  </si>
  <si>
    <t>Frost losses, no AFP</t>
  </si>
  <si>
    <t>Production ('000 tonnes)</t>
  </si>
  <si>
    <t>Value (AUD m)</t>
  </si>
  <si>
    <t>Drought losses, no HB4</t>
  </si>
  <si>
    <t>Frost losses, with AFP</t>
  </si>
  <si>
    <t>Drought losses, with HB4</t>
  </si>
  <si>
    <t>10 year average</t>
  </si>
  <si>
    <t>Potential savings due to AFP</t>
  </si>
  <si>
    <t>Potential savings due to AFP and HB4</t>
  </si>
  <si>
    <t>Potential savings due to HB4</t>
  </si>
  <si>
    <t>Description</t>
  </si>
  <si>
    <t>Cost</t>
  </si>
  <si>
    <t>AUD/year</t>
  </si>
  <si>
    <t>John Fosu-Nyarko</t>
  </si>
  <si>
    <t>AFP</t>
  </si>
  <si>
    <t>Quantity</t>
  </si>
  <si>
    <t>Unit Cost</t>
  </si>
  <si>
    <t>Technicans</t>
  </si>
  <si>
    <t>Lab space and equipment</t>
  </si>
  <si>
    <t>University fee</t>
  </si>
  <si>
    <t>IP</t>
  </si>
  <si>
    <t>Retain lawyer for strategy advice</t>
  </si>
  <si>
    <t>Legal protection of AFP, if it passes trials</t>
  </si>
  <si>
    <t>Company</t>
  </si>
  <si>
    <t>Directors</t>
  </si>
  <si>
    <t>Accountant</t>
  </si>
  <si>
    <t>Bookkeeper (Jean)</t>
  </si>
  <si>
    <t>AUD per year or hour</t>
  </si>
  <si>
    <t>Bill Crabtree: word of mouth, conferences</t>
  </si>
  <si>
    <t>Business advisor</t>
  </si>
  <si>
    <t>Material (website, posters, cards)</t>
  </si>
  <si>
    <t>Costs</t>
  </si>
  <si>
    <t>PhD student or assistant for John</t>
  </si>
  <si>
    <t>Research or advice: Mike and Jon??</t>
  </si>
  <si>
    <t>Profits</t>
  </si>
  <si>
    <t>Revenue</t>
  </si>
  <si>
    <t>Annual cost escalation</t>
  </si>
  <si>
    <t>EPS</t>
  </si>
  <si>
    <t>m</t>
  </si>
  <si>
    <t>Projected Earnings</t>
  </si>
  <si>
    <t>Projected Costs</t>
  </si>
  <si>
    <t>Projected Revenue</t>
  </si>
  <si>
    <t>Summary</t>
  </si>
  <si>
    <t>HB4</t>
  </si>
  <si>
    <t>million tonnes</t>
  </si>
  <si>
    <t>AUD, billions</t>
  </si>
  <si>
    <t>Custom</t>
  </si>
  <si>
    <t>Earnings per share, 2028 - 2030</t>
  </si>
  <si>
    <t>PE ratio</t>
  </si>
  <si>
    <t>Chances of achieving earnings</t>
  </si>
  <si>
    <t>Discount rate</t>
  </si>
  <si>
    <t>GB revenue, 2028 - 2030</t>
  </si>
  <si>
    <t>Bioceres revenue per share</t>
  </si>
  <si>
    <t>GB number of shares</t>
  </si>
  <si>
    <t>GB revenue per share</t>
  </si>
  <si>
    <t>GB share price estimate</t>
  </si>
  <si>
    <t>Share Valuation, by Comparison to Bioceres</t>
  </si>
  <si>
    <t>Bioceres revenue multiple</t>
  </si>
  <si>
    <t>Bioceres revenue 2022</t>
  </si>
  <si>
    <t>Bioceres number of shares 2022</t>
  </si>
  <si>
    <t>Bioceres share price 2022</t>
  </si>
  <si>
    <t>Discount seven years forward</t>
  </si>
  <si>
    <t>NPV of EPS</t>
  </si>
  <si>
    <t>Share Valuation, by Net Present Value (NPV)</t>
  </si>
  <si>
    <t>Market cap</t>
  </si>
  <si>
    <t>Effective corporate tax rate</t>
  </si>
  <si>
    <t>Earnings Before Tax</t>
  </si>
  <si>
    <t>Medium</t>
  </si>
  <si>
    <t>No-Till</t>
  </si>
  <si>
    <t>Licensing</t>
  </si>
  <si>
    <t>CRISPR</t>
  </si>
  <si>
    <t>Earnings</t>
  </si>
  <si>
    <t>Bioceres market cap</t>
  </si>
  <si>
    <t>Share Valuation, by Earnings per Share</t>
  </si>
  <si>
    <t>Field trials</t>
  </si>
  <si>
    <t>Marketing, Sales, EPR</t>
  </si>
  <si>
    <t>Seeds, distribution, EPR/closed loop, marketing</t>
  </si>
  <si>
    <t>Tentative GB share price now</t>
  </si>
  <si>
    <t>GB market cap</t>
  </si>
  <si>
    <t>Number of shares</t>
  </si>
  <si>
    <t>Adoption Curves</t>
  </si>
  <si>
    <t>Uptake of AFP
in Wheat</t>
  </si>
  <si>
    <t>Uptake of AFP
in Barley</t>
  </si>
  <si>
    <t>Uptake
of AFP in Wheat</t>
  </si>
  <si>
    <t>Uptake
of AFP in Barley</t>
  </si>
  <si>
    <t>Uptake of HB4</t>
  </si>
  <si>
    <t>Wheat with AFP</t>
  </si>
  <si>
    <t>Barley with AFP</t>
  </si>
  <si>
    <t>Wheat with HB4</t>
  </si>
  <si>
    <t>AUD m/yr</t>
  </si>
  <si>
    <t>Uptake
of HB4 in Wheat</t>
  </si>
  <si>
    <t xml:space="preserve"> </t>
  </si>
  <si>
    <t>First year of adoption</t>
  </si>
  <si>
    <t>Annual Costs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</si>
</sst>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C09]dd\ mmm\ yy;@"/>
    <numFmt numFmtId="165" formatCode="###0;[Red]\-###0"/>
    <numFmt numFmtId="166" formatCode="#,##0.0;[Red]\-#,##0.0"/>
    <numFmt numFmtId="167" formatCode="#,##0.0;[Red]\-#,##0.0;;"/>
    <numFmt numFmtId="168" formatCode="#,##0;[Red]\-#,##0;"/>
    <numFmt numFmtId="169" formatCode="#,##0.0;[Red]\-#,##0.0;"/>
  </numFmts>
  <fonts count="17" x14ac:knownFonts="1">
    <font>
      <sz val="11"/>
      <color theme="1"/>
      <name val="Calibri"/>
      <family val="2"/>
      <scheme val="minor"/>
    </font>
    <font>
      <sz val="8"/>
      <name val="Arial"/>
      <family val="2"/>
    </font>
    <font>
      <sz val="9"/>
      <color theme="0"/>
      <name val="Arial"/>
      <family val="2"/>
    </font>
    <font>
      <sz val="9"/>
      <color indexed="81"/>
      <name val="Tahoma"/>
      <family val="2"/>
    </font>
    <font>
      <sz val="11"/>
      <name val="Calibri"/>
      <family val="2"/>
    </font>
    <font>
      <sz val="10"/>
      <color theme="1"/>
      <name val="Calibri"/>
      <family val="2"/>
    </font>
    <font>
      <b/>
      <sz val="11"/>
      <color theme="1"/>
      <name val="Calibri"/>
      <family val="2"/>
    </font>
    <font>
      <b/>
      <sz val="20"/>
      <color theme="4" tint="-0.499984740745262"/>
      <name val="Calibri"/>
      <family val="2"/>
    </font>
    <font>
      <b/>
      <sz val="20"/>
      <color theme="0"/>
      <name val="Calibri"/>
      <family val="2"/>
    </font>
    <font>
      <b/>
      <sz val="12"/>
      <color indexed="12"/>
      <name val="Calibri"/>
      <family val="2"/>
    </font>
    <font>
      <sz val="11"/>
      <color theme="0"/>
      <name val="Calibri"/>
      <family val="2"/>
      <scheme val="minor"/>
    </font>
    <font>
      <b/>
      <i/>
      <sz val="11"/>
      <color theme="1"/>
      <name val="Calibri"/>
      <family val="2"/>
    </font>
    <font>
      <sz val="11"/>
      <color theme="1"/>
      <name val="Calibri"/>
      <family val="2"/>
    </font>
    <font>
      <sz val="11"/>
      <color theme="0"/>
      <name val="Calibri"/>
      <family val="2"/>
    </font>
    <font>
      <b/>
      <sz val="11"/>
      <color theme="0"/>
      <name val="Calibri"/>
      <family val="2"/>
    </font>
    <font>
      <i/>
      <sz val="11"/>
      <color theme="1"/>
      <name val="Calibri"/>
      <family val="2"/>
      <scheme val="minor"/>
    </font>
    <font>
      <b/>
      <i/>
      <sz val="11"/>
      <color theme="4" tint="-0.499984740745262"/>
      <name val="Calibri"/>
      <family val="2"/>
    </font>
  </fonts>
  <fills count="32">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indexed="41"/>
        <bgColor indexed="64"/>
      </patternFill>
    </fill>
    <fill>
      <patternFill patternType="solid">
        <fgColor theme="9" tint="0.39997558519241921"/>
        <bgColor indexed="64"/>
      </patternFill>
    </fill>
    <fill>
      <patternFill patternType="solid">
        <fgColor theme="4" tint="-0.249977111117893"/>
        <bgColor indexed="64"/>
      </patternFill>
    </fill>
    <fill>
      <patternFill patternType="solid">
        <fgColor theme="7" tint="-0.249977111117893"/>
        <bgColor indexed="64"/>
      </patternFill>
    </fill>
    <fill>
      <patternFill patternType="solid">
        <fgColor theme="8" tint="0.59999389629810485"/>
        <bgColor indexed="64"/>
      </patternFill>
    </fill>
    <fill>
      <patternFill patternType="solid">
        <fgColor rgb="FFC0C0C0"/>
        <bgColor indexed="64"/>
      </patternFill>
    </fill>
    <fill>
      <patternFill patternType="solid">
        <fgColor theme="6" tint="0.39997558519241921"/>
        <bgColor indexed="64"/>
      </patternFill>
    </fill>
    <fill>
      <patternFill patternType="solid">
        <fgColor theme="6" tint="-0.499984740745262"/>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theme="0" tint="-0.499984740745262"/>
        <bgColor indexed="64"/>
      </patternFill>
    </fill>
    <fill>
      <patternFill patternType="solid">
        <fgColor theme="8" tint="-0.499984740745262"/>
        <bgColor indexed="64"/>
      </patternFill>
    </fill>
    <fill>
      <patternFill patternType="solid">
        <fgColor theme="0" tint="-4.9989318521683403E-2"/>
        <bgColor indexed="64"/>
      </patternFill>
    </fill>
    <fill>
      <patternFill patternType="solid">
        <fgColor theme="5" tint="-0.249977111117893"/>
        <bgColor indexed="64"/>
      </patternFill>
    </fill>
    <fill>
      <patternFill patternType="solid">
        <fgColor theme="9" tint="-0.249977111117893"/>
        <bgColor indexed="64"/>
      </patternFill>
    </fill>
    <fill>
      <patternFill patternType="solid">
        <fgColor theme="4" tint="-0.499984740745262"/>
        <bgColor indexed="64"/>
      </patternFill>
    </fill>
    <fill>
      <patternFill patternType="solid">
        <fgColor theme="3" tint="0.59999389629810485"/>
        <bgColor indexed="64"/>
      </patternFill>
    </fill>
    <fill>
      <patternFill patternType="solid">
        <fgColor rgb="FFFFFFCC"/>
        <bgColor indexed="64"/>
      </patternFill>
    </fill>
    <fill>
      <patternFill patternType="solid">
        <fgColor rgb="FF92D050"/>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theme="7" tint="0.79998168889431442"/>
        <bgColor indexed="64"/>
      </patternFill>
    </fill>
  </fills>
  <borders count="21">
    <border>
      <left/>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indexed="64"/>
      </top>
      <bottom/>
      <diagonal/>
    </border>
    <border>
      <left/>
      <right/>
      <top style="thin">
        <color auto="1"/>
      </top>
      <bottom style="thin">
        <color auto="1"/>
      </bottom>
      <diagonal/>
    </border>
    <border>
      <left/>
      <right/>
      <top/>
      <bottom style="thin">
        <color auto="1"/>
      </bottom>
      <diagonal/>
    </border>
    <border>
      <left style="thin">
        <color auto="1"/>
      </left>
      <right/>
      <top/>
      <bottom style="thin">
        <color auto="1"/>
      </bottom>
      <diagonal/>
    </border>
    <border>
      <left style="thin">
        <color auto="1"/>
      </left>
      <right/>
      <top/>
      <bottom/>
      <diagonal/>
    </border>
    <border>
      <left style="thin">
        <color auto="1"/>
      </left>
      <right/>
      <top style="thin">
        <color indexed="64"/>
      </top>
      <bottom/>
      <diagonal/>
    </border>
    <border>
      <left style="thin">
        <color auto="1"/>
      </left>
      <right/>
      <top style="thin">
        <color auto="1"/>
      </top>
      <bottom style="thin">
        <color auto="1"/>
      </bottom>
      <diagonal/>
    </border>
    <border>
      <left/>
      <right style="thin">
        <color auto="1"/>
      </right>
      <top style="thin">
        <color indexed="64"/>
      </top>
      <bottom style="thin">
        <color indexed="64"/>
      </bottom>
      <diagonal/>
    </border>
    <border>
      <left/>
      <right style="thin">
        <color auto="1"/>
      </right>
      <top style="thin">
        <color indexed="64"/>
      </top>
      <bottom/>
      <diagonal/>
    </border>
    <border>
      <left/>
      <right style="thin">
        <color auto="1"/>
      </right>
      <top/>
      <bottom/>
      <diagonal/>
    </border>
    <border>
      <left/>
      <right/>
      <top style="double">
        <color auto="1"/>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bottom/>
      <diagonal/>
    </border>
    <border>
      <left style="medium">
        <color indexed="64"/>
      </left>
      <right/>
      <top/>
      <bottom/>
      <diagonal/>
    </border>
  </borders>
  <cellStyleXfs count="11">
    <xf numFmtId="0" fontId="0" fillId="0" borderId="0"/>
    <xf numFmtId="0" fontId="7" fillId="2" borderId="0" applyFill="0" applyBorder="0" applyProtection="0">
      <alignment horizontal="left" vertical="top"/>
    </xf>
    <xf numFmtId="0" fontId="9" fillId="0" borderId="0" applyFill="0" applyBorder="0" applyProtection="0">
      <alignment horizontal="left"/>
    </xf>
    <xf numFmtId="0" fontId="4" fillId="0" borderId="1" applyFill="0" applyBorder="0" applyProtection="0">
      <alignment horizontal="left" vertical="top"/>
    </xf>
    <xf numFmtId="164" fontId="16" fillId="2" borderId="0" applyFill="0" applyBorder="0" applyProtection="0">
      <alignment horizontal="left" vertical="top"/>
    </xf>
    <xf numFmtId="38" fontId="4" fillId="0" borderId="1" applyFill="0" applyBorder="0" applyProtection="0">
      <alignment horizontal="right" vertical="top"/>
    </xf>
    <xf numFmtId="0" fontId="6" fillId="3" borderId="2" applyFill="0" applyBorder="0" applyProtection="0">
      <alignment horizontal="center" vertical="top" wrapText="1"/>
    </xf>
    <xf numFmtId="164" fontId="4" fillId="0" borderId="1" applyFill="0" applyBorder="0" applyProtection="0">
      <alignment horizontal="left" vertical="top"/>
    </xf>
    <xf numFmtId="164" fontId="1" fillId="0" borderId="1" applyFill="0" applyBorder="0" applyProtection="0">
      <alignment horizontal="left" vertical="top"/>
    </xf>
    <xf numFmtId="165" fontId="4" fillId="4" borderId="0" applyFill="0" applyBorder="0" applyProtection="0">
      <alignment horizontal="center" vertical="top"/>
    </xf>
    <xf numFmtId="0" fontId="5" fillId="3" borderId="2" applyFill="0" applyBorder="0" applyProtection="0">
      <alignment horizontal="center" vertical="top" wrapText="1"/>
    </xf>
  </cellStyleXfs>
  <cellXfs count="166">
    <xf numFmtId="0" fontId="0" fillId="0" borderId="0" xfId="0"/>
    <xf numFmtId="0" fontId="6" fillId="9" borderId="0" xfId="6" applyFill="1" applyBorder="1">
      <alignment horizontal="center" vertical="top" wrapText="1"/>
    </xf>
    <xf numFmtId="40" fontId="4" fillId="0" borderId="1" xfId="5" applyNumberFormat="1" applyFill="1" applyBorder="1">
      <alignment horizontal="right" vertical="top"/>
    </xf>
    <xf numFmtId="40" fontId="4" fillId="0" borderId="4" xfId="5" applyNumberFormat="1" applyFill="1" applyBorder="1">
      <alignment horizontal="right" vertical="top"/>
    </xf>
    <xf numFmtId="0" fontId="0" fillId="9" borderId="0" xfId="0" applyFill="1"/>
    <xf numFmtId="0" fontId="2" fillId="6" borderId="0" xfId="0" applyFont="1" applyFill="1"/>
    <xf numFmtId="0" fontId="9" fillId="9" borderId="0" xfId="2" applyFill="1">
      <alignment horizontal="left"/>
    </xf>
    <xf numFmtId="0" fontId="2" fillId="11" borderId="0" xfId="0" applyFont="1" applyFill="1"/>
    <xf numFmtId="0" fontId="2" fillId="7" borderId="0" xfId="0" applyFont="1" applyFill="1"/>
    <xf numFmtId="38" fontId="4" fillId="0" borderId="0" xfId="5" applyFill="1" applyBorder="1">
      <alignment horizontal="right" vertical="top"/>
    </xf>
    <xf numFmtId="0" fontId="6" fillId="5" borderId="2" xfId="6" applyFill="1" applyBorder="1">
      <alignment horizontal="center" vertical="top" wrapText="1"/>
    </xf>
    <xf numFmtId="0" fontId="8" fillId="11" borderId="0" xfId="1" applyFont="1" applyFill="1">
      <alignment horizontal="left" vertical="top"/>
    </xf>
    <xf numFmtId="0" fontId="8" fillId="6" borderId="0" xfId="1" applyFont="1" applyFill="1">
      <alignment horizontal="left" vertical="top"/>
    </xf>
    <xf numFmtId="0" fontId="8" fillId="7" borderId="0" xfId="1" applyFont="1" applyFill="1">
      <alignment horizontal="left" vertical="top"/>
    </xf>
    <xf numFmtId="165" fontId="4" fillId="13" borderId="0" xfId="9" applyFill="1" applyBorder="1">
      <alignment horizontal="center" vertical="top"/>
    </xf>
    <xf numFmtId="38" fontId="4" fillId="14" borderId="0" xfId="5" applyFill="1" applyBorder="1">
      <alignment horizontal="right" vertical="top"/>
    </xf>
    <xf numFmtId="38" fontId="4" fillId="14" borderId="5" xfId="5" applyFill="1" applyBorder="1">
      <alignment horizontal="right" vertical="top"/>
    </xf>
    <xf numFmtId="0" fontId="4" fillId="13" borderId="5" xfId="3" applyFill="1" applyBorder="1" applyAlignment="1">
      <alignment horizontal="center" vertical="center"/>
    </xf>
    <xf numFmtId="0" fontId="6" fillId="10" borderId="2" xfId="6" applyFill="1" applyBorder="1">
      <alignment horizontal="center" vertical="top" wrapText="1"/>
    </xf>
    <xf numFmtId="165" fontId="4" fillId="16" borderId="0" xfId="9" applyFill="1" applyBorder="1">
      <alignment horizontal="center" vertical="top"/>
    </xf>
    <xf numFmtId="0" fontId="4" fillId="16" borderId="5" xfId="3" applyFill="1" applyBorder="1" applyAlignment="1">
      <alignment horizontal="center" vertical="center"/>
    </xf>
    <xf numFmtId="40" fontId="4" fillId="14" borderId="0" xfId="5" applyNumberFormat="1" applyFill="1" applyBorder="1">
      <alignment horizontal="right" vertical="top"/>
    </xf>
    <xf numFmtId="40" fontId="4" fillId="14" borderId="5" xfId="5" applyNumberFormat="1" applyFill="1" applyBorder="1">
      <alignment horizontal="right" vertical="top"/>
    </xf>
    <xf numFmtId="165" fontId="4" fillId="17" borderId="0" xfId="9" applyFill="1" applyBorder="1">
      <alignment horizontal="center" vertical="top"/>
    </xf>
    <xf numFmtId="0" fontId="4" fillId="17" borderId="5" xfId="3" applyFill="1" applyBorder="1">
      <alignment horizontal="left" vertical="top"/>
    </xf>
    <xf numFmtId="0" fontId="6" fillId="18" borderId="2" xfId="6" applyFill="1" applyBorder="1">
      <alignment horizontal="center" vertical="top" wrapText="1"/>
    </xf>
    <xf numFmtId="0" fontId="5" fillId="18" borderId="2" xfId="10" applyFill="1" applyBorder="1">
      <alignment horizontal="center" vertical="top" wrapText="1"/>
    </xf>
    <xf numFmtId="0" fontId="5" fillId="18" borderId="2" xfId="10" quotePrefix="1" applyFill="1" applyBorder="1">
      <alignment horizontal="center" vertical="top" wrapText="1"/>
    </xf>
    <xf numFmtId="0" fontId="4" fillId="15" borderId="0" xfId="3" applyFill="1" applyBorder="1">
      <alignment horizontal="left" vertical="top"/>
    </xf>
    <xf numFmtId="0" fontId="6" fillId="15" borderId="0" xfId="6" applyFill="1" applyBorder="1">
      <alignment horizontal="center" vertical="top" wrapText="1"/>
    </xf>
    <xf numFmtId="166" fontId="4" fillId="0" borderId="0" xfId="5" applyNumberFormat="1" applyFill="1" applyBorder="1" applyAlignment="1">
      <alignment horizontal="center" vertical="top"/>
    </xf>
    <xf numFmtId="0" fontId="4" fillId="15" borderId="5" xfId="3" applyFill="1" applyBorder="1">
      <alignment horizontal="left" vertical="top"/>
    </xf>
    <xf numFmtId="166" fontId="4" fillId="14" borderId="5" xfId="5" applyNumberFormat="1" applyFill="1" applyBorder="1" applyAlignment="1">
      <alignment horizontal="center" vertical="top"/>
    </xf>
    <xf numFmtId="0" fontId="0" fillId="13" borderId="0" xfId="0" applyFill="1"/>
    <xf numFmtId="0" fontId="0" fillId="13" borderId="0" xfId="0" applyFill="1" applyAlignment="1">
      <alignment horizontal="right"/>
    </xf>
    <xf numFmtId="0" fontId="6" fillId="12" borderId="0" xfId="6" applyFill="1" applyBorder="1" applyAlignment="1">
      <alignment horizontal="right" vertical="top" wrapText="1"/>
    </xf>
    <xf numFmtId="38" fontId="4" fillId="0" borderId="3" xfId="5" applyFill="1" applyBorder="1">
      <alignment horizontal="right" vertical="top"/>
    </xf>
    <xf numFmtId="38" fontId="4" fillId="0" borderId="1" xfId="5" applyFill="1" applyBorder="1">
      <alignment horizontal="right" vertical="top"/>
    </xf>
    <xf numFmtId="38" fontId="4" fillId="12" borderId="5" xfId="5" applyFill="1" applyBorder="1">
      <alignment horizontal="right" vertical="top"/>
    </xf>
    <xf numFmtId="0" fontId="6" fillId="19" borderId="2" xfId="6" applyFill="1" applyBorder="1">
      <alignment horizontal="center" vertical="top" wrapText="1"/>
    </xf>
    <xf numFmtId="0" fontId="5" fillId="19" borderId="2" xfId="10" quotePrefix="1" applyFill="1" applyBorder="1">
      <alignment horizontal="center" vertical="top" wrapText="1"/>
    </xf>
    <xf numFmtId="165" fontId="4" fillId="15" borderId="0" xfId="9" applyFill="1">
      <alignment horizontal="center" vertical="top"/>
    </xf>
    <xf numFmtId="0" fontId="4" fillId="8" borderId="0" xfId="3" applyFill="1" applyBorder="1" applyAlignment="1">
      <alignment horizontal="center" vertical="top"/>
    </xf>
    <xf numFmtId="38" fontId="4" fillId="0" borderId="0" xfId="5" applyFill="1" applyBorder="1" applyAlignment="1">
      <alignment horizontal="center" vertical="top"/>
    </xf>
    <xf numFmtId="0" fontId="6" fillId="10" borderId="0" xfId="6" applyFill="1" applyBorder="1" applyAlignment="1">
      <alignment horizontal="right" vertical="top" wrapText="1"/>
    </xf>
    <xf numFmtId="0" fontId="0" fillId="13" borderId="5" xfId="0" applyFill="1" applyBorder="1"/>
    <xf numFmtId="38" fontId="0" fillId="8" borderId="0" xfId="0" applyNumberFormat="1" applyFill="1"/>
    <xf numFmtId="0" fontId="0" fillId="13" borderId="7" xfId="0" applyFill="1" applyBorder="1"/>
    <xf numFmtId="38" fontId="4" fillId="14" borderId="7" xfId="5" applyFill="1" applyBorder="1">
      <alignment horizontal="right" vertical="top"/>
    </xf>
    <xf numFmtId="0" fontId="0" fillId="16" borderId="5" xfId="0" applyFill="1" applyBorder="1"/>
    <xf numFmtId="0" fontId="0" fillId="16" borderId="0" xfId="0" applyFill="1"/>
    <xf numFmtId="0" fontId="0" fillId="16" borderId="7" xfId="0" applyFill="1" applyBorder="1"/>
    <xf numFmtId="0" fontId="6" fillId="20" borderId="0" xfId="6" applyFill="1" applyBorder="1" applyAlignment="1">
      <alignment horizontal="right" vertical="top" wrapText="1"/>
    </xf>
    <xf numFmtId="38" fontId="0" fillId="8" borderId="5" xfId="0" applyNumberFormat="1" applyFill="1" applyBorder="1"/>
    <xf numFmtId="38" fontId="10" fillId="21" borderId="5" xfId="0" applyNumberFormat="1" applyFont="1" applyFill="1" applyBorder="1"/>
    <xf numFmtId="0" fontId="0" fillId="13" borderId="6" xfId="0" applyFill="1" applyBorder="1"/>
    <xf numFmtId="38" fontId="0" fillId="8" borderId="6" xfId="0" applyNumberFormat="1" applyFill="1" applyBorder="1"/>
    <xf numFmtId="38" fontId="4" fillId="14" borderId="6" xfId="5" applyFill="1" applyBorder="1">
      <alignment horizontal="right" vertical="top"/>
    </xf>
    <xf numFmtId="38" fontId="0" fillId="8" borderId="7" xfId="0" applyNumberFormat="1" applyFill="1" applyBorder="1"/>
    <xf numFmtId="0" fontId="0" fillId="13" borderId="7" xfId="0" applyFill="1" applyBorder="1" applyAlignment="1">
      <alignment horizontal="left"/>
    </xf>
    <xf numFmtId="0" fontId="6" fillId="9" borderId="0" xfId="6" applyFill="1" applyBorder="1" applyAlignment="1">
      <alignment horizontal="left" vertical="top"/>
    </xf>
    <xf numFmtId="0" fontId="11" fillId="9" borderId="0" xfId="6" applyFont="1" applyFill="1" applyBorder="1" applyAlignment="1">
      <alignment horizontal="left" vertical="top"/>
    </xf>
    <xf numFmtId="0" fontId="6" fillId="12" borderId="9" xfId="6" applyFill="1" applyBorder="1" applyAlignment="1">
      <alignment horizontal="right" vertical="top" wrapText="1"/>
    </xf>
    <xf numFmtId="38" fontId="10" fillId="21" borderId="10" xfId="0" applyNumberFormat="1" applyFont="1" applyFill="1" applyBorder="1"/>
    <xf numFmtId="38" fontId="4" fillId="14" borderId="10" xfId="5" applyFill="1" applyBorder="1">
      <alignment horizontal="right" vertical="top"/>
    </xf>
    <xf numFmtId="38" fontId="4" fillId="14" borderId="9" xfId="5" applyFill="1" applyBorder="1">
      <alignment horizontal="right" vertical="top"/>
    </xf>
    <xf numFmtId="38" fontId="4" fillId="14" borderId="8" xfId="5" applyFill="1" applyBorder="1">
      <alignment horizontal="right" vertical="top"/>
    </xf>
    <xf numFmtId="38" fontId="4" fillId="14" borderId="11" xfId="5" applyFill="1" applyBorder="1">
      <alignment horizontal="right" vertical="top"/>
    </xf>
    <xf numFmtId="38" fontId="0" fillId="8" borderId="10" xfId="0" applyNumberFormat="1" applyFill="1" applyBorder="1"/>
    <xf numFmtId="38" fontId="0" fillId="8" borderId="9" xfId="0" applyNumberFormat="1" applyFill="1" applyBorder="1"/>
    <xf numFmtId="38" fontId="0" fillId="8" borderId="8" xfId="0" applyNumberFormat="1" applyFill="1" applyBorder="1"/>
    <xf numFmtId="38" fontId="0" fillId="8" borderId="11" xfId="0" applyNumberFormat="1" applyFill="1" applyBorder="1"/>
    <xf numFmtId="0" fontId="12" fillId="13" borderId="5" xfId="6" applyFont="1" applyFill="1" applyBorder="1" applyAlignment="1">
      <alignment horizontal="left" vertical="top"/>
    </xf>
    <xf numFmtId="0" fontId="12" fillId="13" borderId="0" xfId="6" applyFont="1" applyFill="1" applyBorder="1" applyAlignment="1">
      <alignment horizontal="left" vertical="top"/>
    </xf>
    <xf numFmtId="0" fontId="12" fillId="13" borderId="7" xfId="6" applyFont="1" applyFill="1" applyBorder="1" applyAlignment="1">
      <alignment horizontal="left" vertical="top"/>
    </xf>
    <xf numFmtId="0" fontId="12" fillId="13" borderId="6" xfId="6" applyFont="1" applyFill="1" applyBorder="1" applyAlignment="1">
      <alignment horizontal="left" vertical="top"/>
    </xf>
    <xf numFmtId="0" fontId="6" fillId="10" borderId="9" xfId="6" applyFill="1" applyBorder="1" applyAlignment="1">
      <alignment horizontal="right" vertical="top" wrapText="1"/>
    </xf>
    <xf numFmtId="0" fontId="0" fillId="16" borderId="7" xfId="0" applyFill="1" applyBorder="1" applyAlignment="1">
      <alignment horizontal="left"/>
    </xf>
    <xf numFmtId="0" fontId="12" fillId="16" borderId="5" xfId="6" applyFont="1" applyFill="1" applyBorder="1" applyAlignment="1">
      <alignment horizontal="left" vertical="top"/>
    </xf>
    <xf numFmtId="0" fontId="12" fillId="16" borderId="0" xfId="6" applyFont="1" applyFill="1" applyBorder="1" applyAlignment="1">
      <alignment horizontal="left" vertical="top"/>
    </xf>
    <xf numFmtId="0" fontId="12" fillId="16" borderId="7" xfId="6" applyFont="1" applyFill="1" applyBorder="1" applyAlignment="1">
      <alignment horizontal="left" vertical="top"/>
    </xf>
    <xf numFmtId="38" fontId="10" fillId="21" borderId="11" xfId="0" applyNumberFormat="1" applyFont="1" applyFill="1" applyBorder="1"/>
    <xf numFmtId="38" fontId="10" fillId="21" borderId="6" xfId="0" applyNumberFormat="1" applyFont="1" applyFill="1" applyBorder="1"/>
    <xf numFmtId="38" fontId="10" fillId="21" borderId="12" xfId="0" applyNumberFormat="1" applyFont="1" applyFill="1" applyBorder="1"/>
    <xf numFmtId="38" fontId="0" fillId="8" borderId="13" xfId="0" applyNumberFormat="1" applyFill="1" applyBorder="1"/>
    <xf numFmtId="38" fontId="0" fillId="8" borderId="14" xfId="0" applyNumberFormat="1" applyFill="1" applyBorder="1"/>
    <xf numFmtId="0" fontId="6" fillId="20" borderId="9" xfId="6" applyFill="1" applyBorder="1" applyAlignment="1">
      <alignment horizontal="right" vertical="top" wrapText="1"/>
    </xf>
    <xf numFmtId="0" fontId="0" fillId="22" borderId="7" xfId="0" applyFill="1" applyBorder="1" applyAlignment="1">
      <alignment horizontal="left"/>
    </xf>
    <xf numFmtId="0" fontId="0" fillId="22" borderId="7" xfId="0" applyFill="1" applyBorder="1"/>
    <xf numFmtId="0" fontId="12" fillId="22" borderId="5" xfId="6" applyFont="1" applyFill="1" applyBorder="1" applyAlignment="1">
      <alignment horizontal="left" vertical="top"/>
    </xf>
    <xf numFmtId="0" fontId="0" fillId="22" borderId="5" xfId="0" applyFill="1" applyBorder="1"/>
    <xf numFmtId="0" fontId="12" fillId="22" borderId="0" xfId="6" applyFont="1" applyFill="1" applyBorder="1" applyAlignment="1">
      <alignment horizontal="left" vertical="top"/>
    </xf>
    <xf numFmtId="0" fontId="0" fillId="22" borderId="0" xfId="0" applyFill="1"/>
    <xf numFmtId="0" fontId="12" fillId="22" borderId="7" xfId="6" applyFont="1" applyFill="1" applyBorder="1" applyAlignment="1">
      <alignment horizontal="left" vertical="top"/>
    </xf>
    <xf numFmtId="0" fontId="12" fillId="22" borderId="6" xfId="6" applyFont="1" applyFill="1" applyBorder="1" applyAlignment="1">
      <alignment horizontal="left" vertical="top"/>
    </xf>
    <xf numFmtId="0" fontId="0" fillId="22" borderId="6" xfId="0" applyFill="1" applyBorder="1"/>
    <xf numFmtId="0" fontId="8" fillId="23" borderId="0" xfId="1" applyFont="1" applyFill="1">
      <alignment horizontal="left" vertical="top"/>
    </xf>
    <xf numFmtId="0" fontId="2" fillId="23" borderId="0" xfId="0" applyFont="1" applyFill="1"/>
    <xf numFmtId="0" fontId="8" fillId="24" borderId="0" xfId="1" applyFont="1" applyFill="1">
      <alignment horizontal="left" vertical="top"/>
    </xf>
    <xf numFmtId="0" fontId="2" fillId="24" borderId="0" xfId="0" applyFont="1" applyFill="1"/>
    <xf numFmtId="0" fontId="5" fillId="13" borderId="0" xfId="10" applyFill="1" applyBorder="1">
      <alignment horizontal="center" vertical="top" wrapText="1"/>
    </xf>
    <xf numFmtId="0" fontId="6" fillId="13" borderId="0" xfId="6" applyFill="1" applyBorder="1">
      <alignment horizontal="center" vertical="top" wrapText="1"/>
    </xf>
    <xf numFmtId="0" fontId="6" fillId="13" borderId="0" xfId="6" applyFill="1" applyBorder="1" applyAlignment="1">
      <alignment horizontal="left" vertical="top"/>
    </xf>
    <xf numFmtId="166" fontId="4" fillId="0" borderId="0" xfId="5" applyNumberFormat="1" applyFill="1" applyBorder="1">
      <alignment horizontal="right" vertical="top"/>
    </xf>
    <xf numFmtId="38" fontId="13" fillId="23" borderId="15" xfId="5" applyFont="1" applyFill="1" applyBorder="1">
      <alignment horizontal="right" vertical="top"/>
    </xf>
    <xf numFmtId="38" fontId="0" fillId="0" borderId="0" xfId="0" applyNumberFormat="1"/>
    <xf numFmtId="40" fontId="4" fillId="0" borderId="0" xfId="5" applyNumberFormat="1" applyFill="1" applyBorder="1">
      <alignment horizontal="right" vertical="top"/>
    </xf>
    <xf numFmtId="0" fontId="0" fillId="9" borderId="0" xfId="0" applyFill="1" applyAlignment="1">
      <alignment horizontal="right"/>
    </xf>
    <xf numFmtId="0" fontId="8" fillId="25" borderId="0" xfId="1" applyFont="1" applyFill="1">
      <alignment horizontal="left" vertical="top"/>
    </xf>
    <xf numFmtId="0" fontId="2" fillId="25" borderId="0" xfId="0" applyFont="1" applyFill="1"/>
    <xf numFmtId="0" fontId="6" fillId="26" borderId="0" xfId="6" applyFill="1" applyBorder="1">
      <alignment horizontal="center" vertical="top" wrapText="1"/>
    </xf>
    <xf numFmtId="0" fontId="5" fillId="26" borderId="0" xfId="10" applyFill="1" applyBorder="1">
      <alignment horizontal="center" vertical="top" wrapText="1"/>
    </xf>
    <xf numFmtId="165" fontId="4" fillId="14" borderId="0" xfId="9" applyFill="1">
      <alignment horizontal="center" vertical="top"/>
    </xf>
    <xf numFmtId="0" fontId="4" fillId="9" borderId="0" xfId="3" applyFill="1" applyBorder="1" applyAlignment="1">
      <alignment horizontal="right" vertical="top"/>
    </xf>
    <xf numFmtId="0" fontId="6" fillId="10" borderId="0" xfId="6" applyFill="1" applyBorder="1">
      <alignment horizontal="center" vertical="top" wrapText="1"/>
    </xf>
    <xf numFmtId="0" fontId="13" fillId="21" borderId="0" xfId="3" applyFont="1" applyFill="1" applyBorder="1" applyAlignment="1">
      <alignment horizontal="right" vertical="top"/>
    </xf>
    <xf numFmtId="0" fontId="14" fillId="21" borderId="0" xfId="6" applyFont="1" applyFill="1" applyBorder="1">
      <alignment horizontal="center" vertical="top" wrapText="1"/>
    </xf>
    <xf numFmtId="166" fontId="4" fillId="27" borderId="0" xfId="5" applyNumberFormat="1" applyFill="1" applyBorder="1" applyAlignment="1">
      <alignment horizontal="center" vertical="top"/>
    </xf>
    <xf numFmtId="40" fontId="4" fillId="27" borderId="0" xfId="5" applyNumberFormat="1" applyFill="1" applyBorder="1" applyAlignment="1">
      <alignment horizontal="center" vertical="top"/>
    </xf>
    <xf numFmtId="0" fontId="15" fillId="9" borderId="0" xfId="0" applyFont="1" applyFill="1" applyAlignment="1">
      <alignment horizontal="right"/>
    </xf>
    <xf numFmtId="166" fontId="4" fillId="14" borderId="0" xfId="5" applyNumberFormat="1" applyFill="1" applyBorder="1" applyAlignment="1">
      <alignment horizontal="center" vertical="top"/>
    </xf>
    <xf numFmtId="0" fontId="6" fillId="19" borderId="0" xfId="6" applyFill="1" applyBorder="1">
      <alignment horizontal="center" vertical="top" wrapText="1"/>
    </xf>
    <xf numFmtId="0" fontId="0" fillId="19" borderId="0" xfId="0" applyFill="1"/>
    <xf numFmtId="38" fontId="4" fillId="9" borderId="0" xfId="5" applyFill="1" applyBorder="1" applyAlignment="1">
      <alignment horizontal="center" vertical="top"/>
    </xf>
    <xf numFmtId="38" fontId="4" fillId="8" borderId="0" xfId="5" applyFill="1" applyBorder="1" applyAlignment="1">
      <alignment horizontal="center" vertical="top"/>
    </xf>
    <xf numFmtId="166" fontId="4" fillId="10" borderId="0" xfId="5" applyNumberFormat="1" applyFill="1" applyBorder="1" applyAlignment="1">
      <alignment horizontal="right" vertical="top" indent="1"/>
    </xf>
    <xf numFmtId="40" fontId="0" fillId="14" borderId="0" xfId="0" applyNumberFormat="1" applyFill="1"/>
    <xf numFmtId="40" fontId="0" fillId="28" borderId="0" xfId="0" applyNumberFormat="1" applyFill="1"/>
    <xf numFmtId="0" fontId="5" fillId="19" borderId="0" xfId="10" applyFill="1" applyBorder="1">
      <alignment horizontal="center" vertical="top" wrapText="1"/>
    </xf>
    <xf numFmtId="166" fontId="4" fillId="14" borderId="0" xfId="5" applyNumberFormat="1" applyFill="1" applyBorder="1" applyAlignment="1">
      <alignment horizontal="right" vertical="top" indent="1"/>
    </xf>
    <xf numFmtId="166" fontId="4" fillId="14" borderId="0" xfId="5" applyNumberFormat="1" applyFill="1" applyBorder="1" applyAlignment="1">
      <alignment horizontal="right" vertical="top" indent="2"/>
    </xf>
    <xf numFmtId="40" fontId="4" fillId="14" borderId="0" xfId="5" applyNumberFormat="1" applyFill="1" applyBorder="1" applyAlignment="1">
      <alignment horizontal="right" vertical="top" indent="2"/>
    </xf>
    <xf numFmtId="38" fontId="0" fillId="14" borderId="0" xfId="0" applyNumberFormat="1" applyFill="1"/>
    <xf numFmtId="0" fontId="4" fillId="22" borderId="0" xfId="3" applyFill="1" applyBorder="1">
      <alignment horizontal="left" vertical="top"/>
    </xf>
    <xf numFmtId="38" fontId="4" fillId="22" borderId="0" xfId="5" applyFill="1" applyBorder="1">
      <alignment horizontal="right" vertical="top"/>
    </xf>
    <xf numFmtId="166" fontId="4" fillId="22" borderId="0" xfId="5" applyNumberFormat="1" applyFill="1" applyBorder="1">
      <alignment horizontal="right" vertical="top"/>
    </xf>
    <xf numFmtId="164" fontId="16" fillId="29" borderId="0" xfId="4" applyFill="1" applyBorder="1">
      <alignment horizontal="left" vertical="top"/>
    </xf>
    <xf numFmtId="0" fontId="4" fillId="29" borderId="0" xfId="3" applyFill="1" applyBorder="1">
      <alignment horizontal="left" vertical="top"/>
    </xf>
    <xf numFmtId="38" fontId="4" fillId="29" borderId="0" xfId="5" applyFill="1" applyBorder="1">
      <alignment horizontal="right" vertical="top"/>
    </xf>
    <xf numFmtId="166" fontId="4" fillId="29" borderId="0" xfId="5" applyNumberFormat="1" applyFill="1" applyBorder="1">
      <alignment horizontal="right" vertical="top"/>
    </xf>
    <xf numFmtId="40" fontId="0" fillId="30" borderId="0" xfId="0" applyNumberFormat="1" applyFill="1"/>
    <xf numFmtId="0" fontId="4" fillId="8" borderId="0" xfId="3" applyFill="1" applyBorder="1" applyAlignment="1">
      <alignment horizontal="center" vertical="top" wrapText="1"/>
    </xf>
    <xf numFmtId="167" fontId="4" fillId="16" borderId="0" xfId="5" applyNumberFormat="1" applyFill="1" applyBorder="1" applyAlignment="1">
      <alignment horizontal="right" vertical="top" indent="1"/>
    </xf>
    <xf numFmtId="168" fontId="4" fillId="16" borderId="0" xfId="5" applyNumberFormat="1" applyFill="1" applyBorder="1" applyAlignment="1">
      <alignment horizontal="right" vertical="top" indent="1"/>
    </xf>
    <xf numFmtId="168" fontId="4" fillId="31" borderId="0" xfId="5" applyNumberFormat="1" applyFill="1" applyBorder="1" applyAlignment="1">
      <alignment horizontal="right" vertical="top" indent="1"/>
    </xf>
    <xf numFmtId="40" fontId="4" fillId="31" borderId="0" xfId="5" applyNumberFormat="1" applyFill="1" applyBorder="1" applyAlignment="1">
      <alignment horizontal="center" vertical="top"/>
    </xf>
    <xf numFmtId="40" fontId="4" fillId="16" borderId="0" xfId="5" applyNumberFormat="1" applyFill="1" applyBorder="1" applyAlignment="1">
      <alignment horizontal="center" vertical="top"/>
    </xf>
    <xf numFmtId="40" fontId="4" fillId="13" borderId="0" xfId="5" applyNumberFormat="1" applyFill="1" applyBorder="1" applyAlignment="1">
      <alignment horizontal="center" vertical="top"/>
    </xf>
    <xf numFmtId="168" fontId="4" fillId="13" borderId="0" xfId="5" applyNumberFormat="1" applyFill="1" applyBorder="1" applyAlignment="1">
      <alignment horizontal="right" vertical="top" indent="1"/>
    </xf>
    <xf numFmtId="169" fontId="4" fillId="10" borderId="0" xfId="5" applyNumberFormat="1" applyFill="1" applyBorder="1" applyAlignment="1">
      <alignment horizontal="right" vertical="top" indent="1"/>
    </xf>
    <xf numFmtId="0" fontId="6" fillId="19" borderId="11" xfId="6" applyFill="1" applyBorder="1">
      <alignment horizontal="center" vertical="top" wrapText="1"/>
    </xf>
    <xf numFmtId="0" fontId="5" fillId="19" borderId="11" xfId="10" applyFill="1" applyBorder="1">
      <alignment horizontal="center" vertical="top" wrapText="1"/>
    </xf>
    <xf numFmtId="0" fontId="6" fillId="19" borderId="12" xfId="6" applyFill="1" applyBorder="1">
      <alignment horizontal="center" vertical="top" wrapText="1"/>
    </xf>
    <xf numFmtId="0" fontId="5" fillId="19" borderId="12" xfId="10" applyFill="1" applyBorder="1">
      <alignment horizontal="center" vertical="top" wrapText="1"/>
    </xf>
    <xf numFmtId="0" fontId="6" fillId="19" borderId="16" xfId="6" applyFill="1" applyBorder="1">
      <alignment horizontal="center" vertical="top" wrapText="1"/>
    </xf>
    <xf numFmtId="0" fontId="6" fillId="19" borderId="17" xfId="6" applyFill="1" applyBorder="1">
      <alignment horizontal="center" vertical="top" wrapText="1"/>
    </xf>
    <xf numFmtId="0" fontId="5" fillId="19" borderId="16" xfId="10" applyFill="1" applyBorder="1">
      <alignment horizontal="center" vertical="top" wrapText="1"/>
    </xf>
    <xf numFmtId="0" fontId="5" fillId="19" borderId="17" xfId="10" applyFill="1" applyBorder="1">
      <alignment horizontal="center" vertical="top" wrapText="1"/>
    </xf>
    <xf numFmtId="167" fontId="4" fillId="13" borderId="18" xfId="5" applyNumberFormat="1" applyFill="1" applyBorder="1" applyAlignment="1">
      <alignment horizontal="right" vertical="top" indent="1"/>
    </xf>
    <xf numFmtId="169" fontId="4" fillId="13" borderId="19" xfId="5" applyNumberFormat="1" applyFill="1" applyBorder="1" applyAlignment="1">
      <alignment horizontal="right" vertical="top" indent="1"/>
    </xf>
    <xf numFmtId="167" fontId="4" fillId="13" borderId="20" xfId="5" applyNumberFormat="1" applyFill="1" applyBorder="1" applyAlignment="1">
      <alignment horizontal="right" vertical="top" indent="1"/>
    </xf>
    <xf numFmtId="167" fontId="4" fillId="31" borderId="20" xfId="5" applyNumberFormat="1" applyFill="1" applyBorder="1" applyAlignment="1">
      <alignment horizontal="right" vertical="top" indent="1"/>
    </xf>
    <xf numFmtId="167" fontId="4" fillId="31" borderId="19" xfId="5" applyNumberFormat="1" applyFill="1" applyBorder="1" applyAlignment="1">
      <alignment horizontal="right" vertical="top" indent="1"/>
    </xf>
    <xf numFmtId="165" fontId="4" fillId="0" borderId="0" xfId="9" applyFill="1" applyBorder="1">
      <alignment horizontal="center" vertical="top"/>
    </xf>
    <xf numFmtId="0" fontId="6" fillId="12" borderId="0" xfId="6" applyFill="1" applyBorder="1">
      <alignment horizontal="center" vertical="top" wrapText="1"/>
    </xf>
    <xf numFmtId="38" fontId="0" fillId="8" borderId="0" xfId="0" applyNumberFormat="1" applyFill="1" applyBorder="1"/>
  </cellXfs>
  <cellStyles count="11">
    <cellStyle name="Banner" xfId="1" xr:uid="{00000000-0005-0000-0000-000004000000}"/>
    <cellStyle name="Col Heading" xfId="6" xr:uid="{00000000-0005-0000-0000-000001000000}"/>
    <cellStyle name="Col Unit" xfId="10" xr:uid="{056CA5C9-14B4-4C67-9574-C82A011E52DF}"/>
    <cellStyle name="Date" xfId="7" xr:uid="{00000000-0005-0000-0000-000000000000}"/>
    <cellStyle name="Inline Heading" xfId="4" xr:uid="{00000000-0005-0000-0000-000002000000}"/>
    <cellStyle name="Normal" xfId="0" builtinId="0"/>
    <cellStyle name="Number" xfId="5" xr:uid="{00000000-0005-0000-0000-000008000000}"/>
    <cellStyle name="Tbl Heading" xfId="2" xr:uid="{00000000-0005-0000-0000-000005000000}"/>
    <cellStyle name="Text" xfId="3" xr:uid="{00000000-0005-0000-0000-000009000000}"/>
    <cellStyle name="Text Small" xfId="8" xr:uid="{00000000-0005-0000-0000-00000A000000}"/>
    <cellStyle name="Year" xfId="9" xr:uid="{00000000-0005-0000-0000-00000C000000}"/>
  </cellStyles>
  <dxfs count="0"/>
  <tableStyles count="0" defaultTableStyle="TableStyleMedium2" defaultPivotStyle="PivotStyleLight16"/>
  <colors>
    <mruColors>
      <color rgb="FF008000"/>
      <color rgb="FFCC9900"/>
      <color rgb="FFFFFFCC"/>
      <color rgb="FFE1FFFF"/>
      <color rgb="FFFFFFDD"/>
      <color rgb="FFCCECFF"/>
      <color rgb="FFC0C0C0"/>
      <color rgb="FFE7FFFF"/>
      <color rgb="FFFFFFE7"/>
      <color rgb="FFE5FF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0">
                <a:latin typeface="+mn-lt"/>
              </a:defRPr>
            </a:pPr>
            <a:r>
              <a:rPr lang="en-US" sz="1400" b="0">
                <a:latin typeface="+mn-lt"/>
              </a:rPr>
              <a:t>Wheat Production ('000 tonnes)</a:t>
            </a:r>
          </a:p>
        </c:rich>
      </c:tx>
      <c:layout>
        <c:manualLayout>
          <c:xMode val="edge"/>
          <c:yMode val="edge"/>
          <c:x val="0.32533111245709673"/>
          <c:y val="6.1728395061728392E-3"/>
        </c:manualLayout>
      </c:layout>
      <c:overlay val="0"/>
    </c:title>
    <c:autoTitleDeleted val="0"/>
    <c:plotArea>
      <c:layout>
        <c:manualLayout>
          <c:layoutTarget val="inner"/>
          <c:xMode val="edge"/>
          <c:yMode val="edge"/>
          <c:x val="9.8488794669897031E-2"/>
          <c:y val="8.465320307183824E-2"/>
          <c:w val="0.86730180362070131"/>
          <c:h val="0.85676655001458146"/>
        </c:manualLayout>
      </c:layout>
      <c:scatterChart>
        <c:scatterStyle val="lineMarker"/>
        <c:varyColors val="0"/>
        <c:ser>
          <c:idx val="0"/>
          <c:order val="0"/>
          <c:tx>
            <c:v>WA</c:v>
          </c:tx>
          <c:spPr>
            <a:ln w="25400">
              <a:solidFill>
                <a:schemeClr val="tx2">
                  <a:lumMod val="60000"/>
                  <a:lumOff val="40000"/>
                </a:schemeClr>
              </a:solidFill>
              <a:prstDash val="solid"/>
            </a:ln>
          </c:spPr>
          <c:marker>
            <c:symbol val="none"/>
          </c:marker>
          <c:xVal>
            <c:numRef>
              <c:f>'Crop Data'!$A$5:$A$27</c:f>
              <c:numCache>
                <c:formatCode>###0;[Red]\-###0</c:formatCode>
                <c:ptCount val="23"/>
                <c:pt idx="0">
                  <c:v>2000</c:v>
                </c:pt>
                <c:pt idx="1">
                  <c:v>2001</c:v>
                </c:pt>
                <c:pt idx="2">
                  <c:v>2002</c:v>
                </c:pt>
                <c:pt idx="3">
                  <c:v>2003</c:v>
                </c:pt>
                <c:pt idx="4">
                  <c:v>2004</c:v>
                </c:pt>
                <c:pt idx="5">
                  <c:v>2005</c:v>
                </c:pt>
                <c:pt idx="6">
                  <c:v>2006</c:v>
                </c:pt>
                <c:pt idx="7">
                  <c:v>2007</c:v>
                </c:pt>
                <c:pt idx="8">
                  <c:v>2008</c:v>
                </c:pt>
                <c:pt idx="9">
                  <c:v>2009</c:v>
                </c:pt>
                <c:pt idx="10">
                  <c:v>2010</c:v>
                </c:pt>
                <c:pt idx="11">
                  <c:v>2011</c:v>
                </c:pt>
                <c:pt idx="12">
                  <c:v>2012</c:v>
                </c:pt>
                <c:pt idx="13">
                  <c:v>2013</c:v>
                </c:pt>
                <c:pt idx="14">
                  <c:v>2014</c:v>
                </c:pt>
                <c:pt idx="15">
                  <c:v>2015</c:v>
                </c:pt>
                <c:pt idx="16">
                  <c:v>2016</c:v>
                </c:pt>
                <c:pt idx="17">
                  <c:v>2017</c:v>
                </c:pt>
                <c:pt idx="18">
                  <c:v>2018</c:v>
                </c:pt>
                <c:pt idx="19">
                  <c:v>2019</c:v>
                </c:pt>
                <c:pt idx="20">
                  <c:v>2020</c:v>
                </c:pt>
                <c:pt idx="21">
                  <c:v>2021</c:v>
                </c:pt>
                <c:pt idx="22">
                  <c:v>2022</c:v>
                </c:pt>
              </c:numCache>
            </c:numRef>
          </c:xVal>
          <c:yVal>
            <c:numRef>
              <c:f>'Crop Data'!$B$5:$B$27</c:f>
              <c:numCache>
                <c:formatCode>#,##0_);[Red]\(#,##0\)</c:formatCode>
                <c:ptCount val="23"/>
                <c:pt idx="0">
                  <c:v>9004</c:v>
                </c:pt>
                <c:pt idx="1">
                  <c:v>5814</c:v>
                </c:pt>
                <c:pt idx="2">
                  <c:v>7760</c:v>
                </c:pt>
                <c:pt idx="3">
                  <c:v>4047</c:v>
                </c:pt>
                <c:pt idx="4">
                  <c:v>11070</c:v>
                </c:pt>
                <c:pt idx="5">
                  <c:v>8619</c:v>
                </c:pt>
                <c:pt idx="6">
                  <c:v>9088</c:v>
                </c:pt>
                <c:pt idx="7">
                  <c:v>5134</c:v>
                </c:pt>
                <c:pt idx="8">
                  <c:v>5820</c:v>
                </c:pt>
                <c:pt idx="9">
                  <c:v>8274</c:v>
                </c:pt>
                <c:pt idx="10">
                  <c:v>8114</c:v>
                </c:pt>
                <c:pt idx="11">
                  <c:v>5005</c:v>
                </c:pt>
                <c:pt idx="12">
                  <c:v>11045</c:v>
                </c:pt>
                <c:pt idx="13">
                  <c:v>6645</c:v>
                </c:pt>
                <c:pt idx="14">
                  <c:v>9977</c:v>
                </c:pt>
                <c:pt idx="15">
                  <c:v>8824</c:v>
                </c:pt>
                <c:pt idx="16">
                  <c:v>8511</c:v>
                </c:pt>
                <c:pt idx="17">
                  <c:v>9645</c:v>
                </c:pt>
                <c:pt idx="18">
                  <c:v>7699</c:v>
                </c:pt>
                <c:pt idx="19">
                  <c:v>9979</c:v>
                </c:pt>
                <c:pt idx="20">
                  <c:v>5842</c:v>
                </c:pt>
                <c:pt idx="21">
                  <c:v>8793</c:v>
                </c:pt>
                <c:pt idx="22">
                  <c:v>12600</c:v>
                </c:pt>
              </c:numCache>
            </c:numRef>
          </c:yVal>
          <c:smooth val="0"/>
          <c:extLst xmlns:c15="http://schemas.microsoft.com/office/drawing/2012/chart">
            <c:ext xmlns:c16="http://schemas.microsoft.com/office/drawing/2014/chart" uri="{C3380CC4-5D6E-409C-BE32-E72D297353CC}">
              <c16:uniqueId val="{00000000-3C4A-4814-99A5-990F02DA0014}"/>
            </c:ext>
          </c:extLst>
        </c:ser>
        <c:ser>
          <c:idx val="1"/>
          <c:order val="1"/>
          <c:tx>
            <c:v>Australia</c:v>
          </c:tx>
          <c:spPr>
            <a:ln>
              <a:solidFill>
                <a:schemeClr val="accent6">
                  <a:lumMod val="75000"/>
                </a:schemeClr>
              </a:solidFill>
            </a:ln>
          </c:spPr>
          <c:marker>
            <c:symbol val="none"/>
          </c:marker>
          <c:xVal>
            <c:numRef>
              <c:f>'Crop Data'!$A$5:$A$27</c:f>
              <c:numCache>
                <c:formatCode>###0;[Red]\-###0</c:formatCode>
                <c:ptCount val="23"/>
                <c:pt idx="0">
                  <c:v>2000</c:v>
                </c:pt>
                <c:pt idx="1">
                  <c:v>2001</c:v>
                </c:pt>
                <c:pt idx="2">
                  <c:v>2002</c:v>
                </c:pt>
                <c:pt idx="3">
                  <c:v>2003</c:v>
                </c:pt>
                <c:pt idx="4">
                  <c:v>2004</c:v>
                </c:pt>
                <c:pt idx="5">
                  <c:v>2005</c:v>
                </c:pt>
                <c:pt idx="6">
                  <c:v>2006</c:v>
                </c:pt>
                <c:pt idx="7">
                  <c:v>2007</c:v>
                </c:pt>
                <c:pt idx="8">
                  <c:v>2008</c:v>
                </c:pt>
                <c:pt idx="9">
                  <c:v>2009</c:v>
                </c:pt>
                <c:pt idx="10">
                  <c:v>2010</c:v>
                </c:pt>
                <c:pt idx="11">
                  <c:v>2011</c:v>
                </c:pt>
                <c:pt idx="12">
                  <c:v>2012</c:v>
                </c:pt>
                <c:pt idx="13">
                  <c:v>2013</c:v>
                </c:pt>
                <c:pt idx="14">
                  <c:v>2014</c:v>
                </c:pt>
                <c:pt idx="15">
                  <c:v>2015</c:v>
                </c:pt>
                <c:pt idx="16">
                  <c:v>2016</c:v>
                </c:pt>
                <c:pt idx="17">
                  <c:v>2017</c:v>
                </c:pt>
                <c:pt idx="18">
                  <c:v>2018</c:v>
                </c:pt>
                <c:pt idx="19">
                  <c:v>2019</c:v>
                </c:pt>
                <c:pt idx="20">
                  <c:v>2020</c:v>
                </c:pt>
                <c:pt idx="21">
                  <c:v>2021</c:v>
                </c:pt>
                <c:pt idx="22">
                  <c:v>2022</c:v>
                </c:pt>
              </c:numCache>
            </c:numRef>
          </c:xVal>
          <c:yVal>
            <c:numRef>
              <c:f>'Crop Data'!$H$5:$H$27</c:f>
              <c:numCache>
                <c:formatCode>#,##0_);[Red]\(#,##0\)</c:formatCode>
                <c:ptCount val="23"/>
                <c:pt idx="0">
                  <c:v>24758</c:v>
                </c:pt>
                <c:pt idx="1">
                  <c:v>22106</c:v>
                </c:pt>
                <c:pt idx="2">
                  <c:v>24298</c:v>
                </c:pt>
                <c:pt idx="3">
                  <c:v>10132</c:v>
                </c:pt>
                <c:pt idx="4">
                  <c:v>26131</c:v>
                </c:pt>
                <c:pt idx="5">
                  <c:v>21904</c:v>
                </c:pt>
                <c:pt idx="6">
                  <c:v>25151</c:v>
                </c:pt>
                <c:pt idx="7">
                  <c:v>10822</c:v>
                </c:pt>
                <c:pt idx="8">
                  <c:v>13569</c:v>
                </c:pt>
                <c:pt idx="9">
                  <c:v>21420</c:v>
                </c:pt>
                <c:pt idx="10">
                  <c:v>21833</c:v>
                </c:pt>
                <c:pt idx="11">
                  <c:v>27410</c:v>
                </c:pt>
                <c:pt idx="12">
                  <c:v>29904</c:v>
                </c:pt>
                <c:pt idx="13">
                  <c:v>22460</c:v>
                </c:pt>
                <c:pt idx="14">
                  <c:v>25302</c:v>
                </c:pt>
                <c:pt idx="15">
                  <c:v>23742</c:v>
                </c:pt>
                <c:pt idx="16">
                  <c:v>22272</c:v>
                </c:pt>
                <c:pt idx="17">
                  <c:v>31820</c:v>
                </c:pt>
                <c:pt idx="18">
                  <c:v>20901</c:v>
                </c:pt>
                <c:pt idx="19">
                  <c:v>17551</c:v>
                </c:pt>
                <c:pt idx="20">
                  <c:v>14479</c:v>
                </c:pt>
                <c:pt idx="21">
                  <c:v>31922</c:v>
                </c:pt>
              </c:numCache>
            </c:numRef>
          </c:yVal>
          <c:smooth val="0"/>
          <c:extLst>
            <c:ext xmlns:c16="http://schemas.microsoft.com/office/drawing/2014/chart" uri="{C3380CC4-5D6E-409C-BE32-E72D297353CC}">
              <c16:uniqueId val="{00000006-3C4A-4814-99A5-990F02DA0014}"/>
            </c:ext>
          </c:extLst>
        </c:ser>
        <c:dLbls>
          <c:showLegendKey val="0"/>
          <c:showVal val="0"/>
          <c:showCatName val="0"/>
          <c:showSerName val="0"/>
          <c:showPercent val="0"/>
          <c:showBubbleSize val="0"/>
        </c:dLbls>
        <c:axId val="381295232"/>
        <c:axId val="381301120"/>
        <c:extLst/>
      </c:scatterChart>
      <c:valAx>
        <c:axId val="381295232"/>
        <c:scaling>
          <c:orientation val="minMax"/>
          <c:max val="2023"/>
          <c:min val="2000"/>
        </c:scaling>
        <c:delete val="0"/>
        <c:axPos val="b"/>
        <c:majorGridlines>
          <c:spPr>
            <a:ln w="3175">
              <a:solidFill>
                <a:schemeClr val="bg1">
                  <a:lumMod val="75000"/>
                </a:schemeClr>
              </a:solidFill>
              <a:prstDash val="sysDash"/>
            </a:ln>
          </c:spPr>
        </c:majorGridlines>
        <c:minorGridlines/>
        <c:numFmt formatCode="#0;[Red]\-#0" sourceLinked="0"/>
        <c:majorTickMark val="out"/>
        <c:minorTickMark val="in"/>
        <c:tickLblPos val="nextTo"/>
        <c:spPr>
          <a:ln w="3175">
            <a:noFill/>
            <a:prstDash val="solid"/>
          </a:ln>
        </c:spPr>
        <c:txPr>
          <a:bodyPr rot="0" vert="horz"/>
          <a:lstStyle/>
          <a:p>
            <a:pPr>
              <a:defRPr sz="900" b="0" i="0" u="none" strike="noStrike" baseline="0">
                <a:solidFill>
                  <a:srgbClr val="000000"/>
                </a:solidFill>
                <a:latin typeface="Arial"/>
                <a:ea typeface="Arial"/>
                <a:cs typeface="Arial"/>
              </a:defRPr>
            </a:pPr>
            <a:endParaRPr lang="en-US"/>
          </a:p>
        </c:txPr>
        <c:crossAx val="381301120"/>
        <c:crossesAt val="-9999"/>
        <c:crossBetween val="midCat"/>
        <c:majorUnit val="5"/>
        <c:minorUnit val="5"/>
      </c:valAx>
      <c:valAx>
        <c:axId val="381301120"/>
        <c:scaling>
          <c:orientation val="minMax"/>
          <c:max val="32000"/>
          <c:min val="0"/>
        </c:scaling>
        <c:delete val="0"/>
        <c:axPos val="l"/>
        <c:majorGridlines>
          <c:spPr>
            <a:ln w="3175">
              <a:solidFill>
                <a:schemeClr val="bg1">
                  <a:lumMod val="75000"/>
                </a:schemeClr>
              </a:solidFill>
              <a:prstDash val="sysDash"/>
            </a:ln>
          </c:spPr>
        </c:majorGridlines>
        <c:minorGridlines>
          <c:spPr>
            <a:ln>
              <a:noFill/>
            </a:ln>
          </c:spPr>
        </c:minorGridlines>
        <c:numFmt formatCode="#,##0;[Red]\-#,##0;;@" sourceLinked="0"/>
        <c:majorTickMark val="out"/>
        <c:minorTickMark val="none"/>
        <c:tickLblPos val="nextTo"/>
        <c:spPr>
          <a:ln w="3175">
            <a:noFill/>
            <a:prstDash val="solid"/>
          </a:ln>
        </c:spPr>
        <c:txPr>
          <a:bodyPr rot="0" vert="horz"/>
          <a:lstStyle/>
          <a:p>
            <a:pPr>
              <a:defRPr sz="900" b="0" i="0" u="none" strike="noStrike" baseline="0">
                <a:solidFill>
                  <a:srgbClr val="000000"/>
                </a:solidFill>
                <a:latin typeface="Arial"/>
                <a:ea typeface="Arial"/>
                <a:cs typeface="Arial"/>
              </a:defRPr>
            </a:pPr>
            <a:endParaRPr lang="en-US"/>
          </a:p>
        </c:txPr>
        <c:crossAx val="381295232"/>
        <c:crossesAt val="-9999"/>
        <c:crossBetween val="midCat"/>
        <c:majorUnit val="5000"/>
        <c:minorUnit val="5000"/>
      </c:valAx>
      <c:spPr>
        <a:solidFill>
          <a:srgbClr val="FFFFFF"/>
        </a:solidFill>
        <a:ln w="12700">
          <a:noFill/>
          <a:prstDash val="solid"/>
        </a:ln>
      </c:spPr>
    </c:plotArea>
    <c:legend>
      <c:legendPos val="t"/>
      <c:layout>
        <c:manualLayout>
          <c:xMode val="edge"/>
          <c:yMode val="edge"/>
          <c:x val="0.67359832424793054"/>
          <c:y val="0.83950617283950613"/>
          <c:w val="0.16282051282051282"/>
          <c:h val="9.9800719354525141E-2"/>
        </c:manualLayout>
      </c:layout>
      <c:overlay val="0"/>
      <c:spPr>
        <a:solidFill>
          <a:schemeClr val="bg1"/>
        </a:solidFill>
      </c:spPr>
      <c:txPr>
        <a:bodyPr/>
        <a:lstStyle/>
        <a:p>
          <a:pPr>
            <a:defRPr sz="1000"/>
          </a:pPr>
          <a:endParaRPr lang="en-US"/>
        </a:p>
      </c:txPr>
    </c:legend>
    <c:plotVisOnly val="1"/>
    <c:dispBlanksAs val="gap"/>
    <c:showDLblsOverMax val="0"/>
  </c:chart>
  <c:spPr>
    <a:solidFill>
      <a:srgbClr val="FFFFFF"/>
    </a:solidFill>
    <a:ln w="3175">
      <a:noFill/>
      <a:prstDash val="solid"/>
    </a:ln>
  </c:spPr>
  <c:txPr>
    <a:bodyPr/>
    <a:lstStyle/>
    <a:p>
      <a:pPr>
        <a:defRPr sz="1025"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0">
                <a:latin typeface="+mn-lt"/>
              </a:defRPr>
            </a:pPr>
            <a:r>
              <a:rPr lang="en-US" sz="1400" b="0">
                <a:latin typeface="+mn-lt"/>
              </a:rPr>
              <a:t>Barley Production ('000 tonnes)</a:t>
            </a:r>
          </a:p>
        </c:rich>
      </c:tx>
      <c:layout>
        <c:manualLayout>
          <c:xMode val="edge"/>
          <c:yMode val="edge"/>
          <c:x val="0.32533111245709673"/>
          <c:y val="6.1728395061728392E-3"/>
        </c:manualLayout>
      </c:layout>
      <c:overlay val="0"/>
    </c:title>
    <c:autoTitleDeleted val="0"/>
    <c:plotArea>
      <c:layout>
        <c:manualLayout>
          <c:layoutTarget val="inner"/>
          <c:xMode val="edge"/>
          <c:yMode val="edge"/>
          <c:x val="9.8488794669897031E-2"/>
          <c:y val="8.465320307183824E-2"/>
          <c:w val="0.86730180362070131"/>
          <c:h val="0.85676655001458146"/>
        </c:manualLayout>
      </c:layout>
      <c:scatterChart>
        <c:scatterStyle val="lineMarker"/>
        <c:varyColors val="0"/>
        <c:ser>
          <c:idx val="0"/>
          <c:order val="0"/>
          <c:tx>
            <c:v>WA</c:v>
          </c:tx>
          <c:spPr>
            <a:ln w="25400">
              <a:solidFill>
                <a:schemeClr val="accent4">
                  <a:lumMod val="60000"/>
                  <a:lumOff val="40000"/>
                </a:schemeClr>
              </a:solidFill>
              <a:prstDash val="solid"/>
            </a:ln>
          </c:spPr>
          <c:marker>
            <c:symbol val="none"/>
          </c:marker>
          <c:xVal>
            <c:numRef>
              <c:f>'Crop Data'!$A$86:$A$108</c:f>
              <c:numCache>
                <c:formatCode>###0;[Red]\-###0</c:formatCode>
                <c:ptCount val="23"/>
                <c:pt idx="0">
                  <c:v>2000</c:v>
                </c:pt>
                <c:pt idx="1">
                  <c:v>2001</c:v>
                </c:pt>
                <c:pt idx="2">
                  <c:v>2002</c:v>
                </c:pt>
                <c:pt idx="3">
                  <c:v>2003</c:v>
                </c:pt>
                <c:pt idx="4">
                  <c:v>2004</c:v>
                </c:pt>
                <c:pt idx="5">
                  <c:v>2005</c:v>
                </c:pt>
                <c:pt idx="6">
                  <c:v>2006</c:v>
                </c:pt>
                <c:pt idx="7">
                  <c:v>2007</c:v>
                </c:pt>
                <c:pt idx="8">
                  <c:v>2008</c:v>
                </c:pt>
                <c:pt idx="9">
                  <c:v>2009</c:v>
                </c:pt>
                <c:pt idx="10">
                  <c:v>2010</c:v>
                </c:pt>
                <c:pt idx="11">
                  <c:v>2011</c:v>
                </c:pt>
                <c:pt idx="12">
                  <c:v>2012</c:v>
                </c:pt>
                <c:pt idx="13">
                  <c:v>2013</c:v>
                </c:pt>
                <c:pt idx="14">
                  <c:v>2014</c:v>
                </c:pt>
                <c:pt idx="15">
                  <c:v>2015</c:v>
                </c:pt>
                <c:pt idx="16">
                  <c:v>2016</c:v>
                </c:pt>
                <c:pt idx="17">
                  <c:v>2017</c:v>
                </c:pt>
                <c:pt idx="18">
                  <c:v>2018</c:v>
                </c:pt>
                <c:pt idx="19">
                  <c:v>2019</c:v>
                </c:pt>
                <c:pt idx="20">
                  <c:v>2020</c:v>
                </c:pt>
                <c:pt idx="21">
                  <c:v>2021</c:v>
                </c:pt>
                <c:pt idx="22">
                  <c:v>2022</c:v>
                </c:pt>
              </c:numCache>
            </c:numRef>
          </c:xVal>
          <c:yVal>
            <c:numRef>
              <c:f>'Crop Data'!$B$86:$B$108</c:f>
              <c:numCache>
                <c:formatCode>#,##0_);[Red]\(#,##0\)</c:formatCode>
                <c:ptCount val="23"/>
                <c:pt idx="0">
                  <c:v>1117</c:v>
                </c:pt>
                <c:pt idx="1">
                  <c:v>1358</c:v>
                </c:pt>
                <c:pt idx="2">
                  <c:v>2263</c:v>
                </c:pt>
                <c:pt idx="3">
                  <c:v>1349</c:v>
                </c:pt>
                <c:pt idx="4">
                  <c:v>3170</c:v>
                </c:pt>
                <c:pt idx="5">
                  <c:v>2489</c:v>
                </c:pt>
                <c:pt idx="6">
                  <c:v>2400</c:v>
                </c:pt>
                <c:pt idx="7">
                  <c:v>1808</c:v>
                </c:pt>
                <c:pt idx="8">
                  <c:v>2719</c:v>
                </c:pt>
                <c:pt idx="9">
                  <c:v>3007</c:v>
                </c:pt>
                <c:pt idx="10">
                  <c:v>2554</c:v>
                </c:pt>
                <c:pt idx="11">
                  <c:v>1549</c:v>
                </c:pt>
                <c:pt idx="12">
                  <c:v>2761</c:v>
                </c:pt>
                <c:pt idx="13">
                  <c:v>2214</c:v>
                </c:pt>
                <c:pt idx="14">
                  <c:v>3556</c:v>
                </c:pt>
                <c:pt idx="15">
                  <c:v>3192</c:v>
                </c:pt>
                <c:pt idx="16">
                  <c:v>3248</c:v>
                </c:pt>
                <c:pt idx="17">
                  <c:v>4120</c:v>
                </c:pt>
                <c:pt idx="18">
                  <c:v>3775</c:v>
                </c:pt>
                <c:pt idx="19">
                  <c:v>4798</c:v>
                </c:pt>
                <c:pt idx="20">
                  <c:v>3996</c:v>
                </c:pt>
                <c:pt idx="21">
                  <c:v>4611</c:v>
                </c:pt>
                <c:pt idx="22">
                  <c:v>6150</c:v>
                </c:pt>
              </c:numCache>
            </c:numRef>
          </c:yVal>
          <c:smooth val="0"/>
          <c:extLst xmlns:c15="http://schemas.microsoft.com/office/drawing/2012/chart">
            <c:ext xmlns:c16="http://schemas.microsoft.com/office/drawing/2014/chart" uri="{C3380CC4-5D6E-409C-BE32-E72D297353CC}">
              <c16:uniqueId val="{00000000-99B0-4073-9FA4-71C9B046F24E}"/>
            </c:ext>
          </c:extLst>
        </c:ser>
        <c:ser>
          <c:idx val="1"/>
          <c:order val="1"/>
          <c:tx>
            <c:v>Australia</c:v>
          </c:tx>
          <c:spPr>
            <a:ln>
              <a:solidFill>
                <a:schemeClr val="accent3">
                  <a:lumMod val="75000"/>
                </a:schemeClr>
              </a:solidFill>
            </a:ln>
          </c:spPr>
          <c:marker>
            <c:symbol val="none"/>
          </c:marker>
          <c:xVal>
            <c:numRef>
              <c:f>'Crop Data'!$A$86:$A$108</c:f>
              <c:numCache>
                <c:formatCode>###0;[Red]\-###0</c:formatCode>
                <c:ptCount val="23"/>
                <c:pt idx="0">
                  <c:v>2000</c:v>
                </c:pt>
                <c:pt idx="1">
                  <c:v>2001</c:v>
                </c:pt>
                <c:pt idx="2">
                  <c:v>2002</c:v>
                </c:pt>
                <c:pt idx="3">
                  <c:v>2003</c:v>
                </c:pt>
                <c:pt idx="4">
                  <c:v>2004</c:v>
                </c:pt>
                <c:pt idx="5">
                  <c:v>2005</c:v>
                </c:pt>
                <c:pt idx="6">
                  <c:v>2006</c:v>
                </c:pt>
                <c:pt idx="7">
                  <c:v>2007</c:v>
                </c:pt>
                <c:pt idx="8">
                  <c:v>2008</c:v>
                </c:pt>
                <c:pt idx="9">
                  <c:v>2009</c:v>
                </c:pt>
                <c:pt idx="10">
                  <c:v>2010</c:v>
                </c:pt>
                <c:pt idx="11">
                  <c:v>2011</c:v>
                </c:pt>
                <c:pt idx="12">
                  <c:v>2012</c:v>
                </c:pt>
                <c:pt idx="13">
                  <c:v>2013</c:v>
                </c:pt>
                <c:pt idx="14">
                  <c:v>2014</c:v>
                </c:pt>
                <c:pt idx="15">
                  <c:v>2015</c:v>
                </c:pt>
                <c:pt idx="16">
                  <c:v>2016</c:v>
                </c:pt>
                <c:pt idx="17">
                  <c:v>2017</c:v>
                </c:pt>
                <c:pt idx="18">
                  <c:v>2018</c:v>
                </c:pt>
                <c:pt idx="19">
                  <c:v>2019</c:v>
                </c:pt>
                <c:pt idx="20">
                  <c:v>2020</c:v>
                </c:pt>
                <c:pt idx="21">
                  <c:v>2021</c:v>
                </c:pt>
                <c:pt idx="22">
                  <c:v>2022</c:v>
                </c:pt>
              </c:numCache>
            </c:numRef>
          </c:xVal>
          <c:yVal>
            <c:numRef>
              <c:f>'Crop Data'!$H$86:$H$108</c:f>
              <c:numCache>
                <c:formatCode>#,##0_);[Red]\(#,##0\)</c:formatCode>
                <c:ptCount val="23"/>
                <c:pt idx="0">
                  <c:v>5031</c:v>
                </c:pt>
                <c:pt idx="1">
                  <c:v>6742</c:v>
                </c:pt>
                <c:pt idx="2">
                  <c:v>8280</c:v>
                </c:pt>
                <c:pt idx="3">
                  <c:v>3864</c:v>
                </c:pt>
                <c:pt idx="4">
                  <c:v>10382</c:v>
                </c:pt>
                <c:pt idx="5">
                  <c:v>7740</c:v>
                </c:pt>
                <c:pt idx="6">
                  <c:v>9482</c:v>
                </c:pt>
                <c:pt idx="7">
                  <c:v>4257</c:v>
                </c:pt>
                <c:pt idx="8">
                  <c:v>7159</c:v>
                </c:pt>
                <c:pt idx="9">
                  <c:v>7996</c:v>
                </c:pt>
                <c:pt idx="10">
                  <c:v>7865</c:v>
                </c:pt>
                <c:pt idx="11">
                  <c:v>7995</c:v>
                </c:pt>
                <c:pt idx="12">
                  <c:v>8221</c:v>
                </c:pt>
                <c:pt idx="13">
                  <c:v>7465</c:v>
                </c:pt>
                <c:pt idx="14">
                  <c:v>9175</c:v>
                </c:pt>
                <c:pt idx="15">
                  <c:v>8646</c:v>
                </c:pt>
                <c:pt idx="16">
                  <c:v>8990</c:v>
                </c:pt>
                <c:pt idx="17">
                  <c:v>13506</c:v>
                </c:pt>
                <c:pt idx="18">
                  <c:v>9255</c:v>
                </c:pt>
                <c:pt idx="19">
                  <c:v>8819</c:v>
                </c:pt>
                <c:pt idx="20">
                  <c:v>10126.906000000001</c:v>
                </c:pt>
                <c:pt idx="21">
                  <c:v>14646.84</c:v>
                </c:pt>
              </c:numCache>
            </c:numRef>
          </c:yVal>
          <c:smooth val="0"/>
          <c:extLst>
            <c:ext xmlns:c16="http://schemas.microsoft.com/office/drawing/2014/chart" uri="{C3380CC4-5D6E-409C-BE32-E72D297353CC}">
              <c16:uniqueId val="{00000001-99B0-4073-9FA4-71C9B046F24E}"/>
            </c:ext>
          </c:extLst>
        </c:ser>
        <c:dLbls>
          <c:showLegendKey val="0"/>
          <c:showVal val="0"/>
          <c:showCatName val="0"/>
          <c:showSerName val="0"/>
          <c:showPercent val="0"/>
          <c:showBubbleSize val="0"/>
        </c:dLbls>
        <c:axId val="381295232"/>
        <c:axId val="381301120"/>
        <c:extLst/>
      </c:scatterChart>
      <c:valAx>
        <c:axId val="381295232"/>
        <c:scaling>
          <c:orientation val="minMax"/>
          <c:max val="2023"/>
          <c:min val="2000"/>
        </c:scaling>
        <c:delete val="0"/>
        <c:axPos val="b"/>
        <c:majorGridlines>
          <c:spPr>
            <a:ln w="3175">
              <a:solidFill>
                <a:schemeClr val="bg1">
                  <a:lumMod val="75000"/>
                </a:schemeClr>
              </a:solidFill>
              <a:prstDash val="sysDash"/>
            </a:ln>
          </c:spPr>
        </c:majorGridlines>
        <c:minorGridlines/>
        <c:numFmt formatCode="#0;[Red]\-#0" sourceLinked="0"/>
        <c:majorTickMark val="out"/>
        <c:minorTickMark val="in"/>
        <c:tickLblPos val="nextTo"/>
        <c:spPr>
          <a:ln w="3175">
            <a:noFill/>
            <a:prstDash val="solid"/>
          </a:ln>
        </c:spPr>
        <c:txPr>
          <a:bodyPr rot="0" vert="horz"/>
          <a:lstStyle/>
          <a:p>
            <a:pPr>
              <a:defRPr sz="900" b="0" i="0" u="none" strike="noStrike" baseline="0">
                <a:solidFill>
                  <a:srgbClr val="000000"/>
                </a:solidFill>
                <a:latin typeface="Arial"/>
                <a:ea typeface="Arial"/>
                <a:cs typeface="Arial"/>
              </a:defRPr>
            </a:pPr>
            <a:endParaRPr lang="en-US"/>
          </a:p>
        </c:txPr>
        <c:crossAx val="381301120"/>
        <c:crossesAt val="-9999"/>
        <c:crossBetween val="midCat"/>
        <c:majorUnit val="5"/>
        <c:minorUnit val="5"/>
      </c:valAx>
      <c:valAx>
        <c:axId val="381301120"/>
        <c:scaling>
          <c:orientation val="minMax"/>
          <c:max val="15000"/>
          <c:min val="0"/>
        </c:scaling>
        <c:delete val="0"/>
        <c:axPos val="l"/>
        <c:majorGridlines>
          <c:spPr>
            <a:ln w="3175">
              <a:solidFill>
                <a:schemeClr val="bg1">
                  <a:lumMod val="75000"/>
                </a:schemeClr>
              </a:solidFill>
              <a:prstDash val="sysDash"/>
            </a:ln>
          </c:spPr>
        </c:majorGridlines>
        <c:minorGridlines>
          <c:spPr>
            <a:ln>
              <a:noFill/>
            </a:ln>
          </c:spPr>
        </c:minorGridlines>
        <c:numFmt formatCode="#,##0;[Red]\-#,##0;;@" sourceLinked="0"/>
        <c:majorTickMark val="out"/>
        <c:minorTickMark val="none"/>
        <c:tickLblPos val="nextTo"/>
        <c:spPr>
          <a:ln w="3175">
            <a:noFill/>
            <a:prstDash val="solid"/>
          </a:ln>
        </c:spPr>
        <c:txPr>
          <a:bodyPr rot="0" vert="horz"/>
          <a:lstStyle/>
          <a:p>
            <a:pPr>
              <a:defRPr sz="900" b="0" i="0" u="none" strike="noStrike" baseline="0">
                <a:solidFill>
                  <a:srgbClr val="000000"/>
                </a:solidFill>
                <a:latin typeface="Arial"/>
                <a:ea typeface="Arial"/>
                <a:cs typeface="Arial"/>
              </a:defRPr>
            </a:pPr>
            <a:endParaRPr lang="en-US"/>
          </a:p>
        </c:txPr>
        <c:crossAx val="381295232"/>
        <c:crossesAt val="-9999"/>
        <c:crossBetween val="midCat"/>
        <c:majorUnit val="2000"/>
        <c:minorUnit val="2000"/>
      </c:valAx>
      <c:spPr>
        <a:solidFill>
          <a:srgbClr val="FFFFFF"/>
        </a:solidFill>
        <a:ln w="12700">
          <a:noFill/>
          <a:prstDash val="solid"/>
        </a:ln>
      </c:spPr>
    </c:plotArea>
    <c:legend>
      <c:legendPos val="t"/>
      <c:layout>
        <c:manualLayout>
          <c:xMode val="edge"/>
          <c:yMode val="edge"/>
          <c:x val="0.67359832424793054"/>
          <c:y val="0.83950617283950613"/>
          <c:w val="0.16282051282051282"/>
          <c:h val="9.9800719354525141E-2"/>
        </c:manualLayout>
      </c:layout>
      <c:overlay val="0"/>
      <c:spPr>
        <a:solidFill>
          <a:schemeClr val="bg1"/>
        </a:solidFill>
      </c:spPr>
      <c:txPr>
        <a:bodyPr/>
        <a:lstStyle/>
        <a:p>
          <a:pPr>
            <a:defRPr sz="1000"/>
          </a:pPr>
          <a:endParaRPr lang="en-US"/>
        </a:p>
      </c:txPr>
    </c:legend>
    <c:plotVisOnly val="1"/>
    <c:dispBlanksAs val="gap"/>
    <c:showDLblsOverMax val="0"/>
  </c:chart>
  <c:spPr>
    <a:solidFill>
      <a:srgbClr val="FFFFFF"/>
    </a:solidFill>
    <a:ln w="3175">
      <a:noFill/>
      <a:prstDash val="solid"/>
    </a:ln>
  </c:spPr>
  <c:txPr>
    <a:bodyPr/>
    <a:lstStyle/>
    <a:p>
      <a:pPr>
        <a:defRPr sz="1025"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0">
                <a:latin typeface="+mn-lt"/>
              </a:defRPr>
            </a:pPr>
            <a:r>
              <a:rPr lang="en-US" sz="1400" b="0">
                <a:latin typeface="+mn-lt"/>
              </a:rPr>
              <a:t>Wheat Yield (tonnes per hectare)</a:t>
            </a:r>
          </a:p>
        </c:rich>
      </c:tx>
      <c:layout>
        <c:manualLayout>
          <c:xMode val="edge"/>
          <c:yMode val="edge"/>
          <c:x val="0.32533111245709673"/>
          <c:y val="6.1728395061728392E-3"/>
        </c:manualLayout>
      </c:layout>
      <c:overlay val="0"/>
    </c:title>
    <c:autoTitleDeleted val="0"/>
    <c:plotArea>
      <c:layout>
        <c:manualLayout>
          <c:layoutTarget val="inner"/>
          <c:xMode val="edge"/>
          <c:yMode val="edge"/>
          <c:x val="7.2847769028871384E-2"/>
          <c:y val="8.465320307183824E-2"/>
          <c:w val="0.89294282926172686"/>
          <c:h val="0.85676655001458146"/>
        </c:manualLayout>
      </c:layout>
      <c:scatterChart>
        <c:scatterStyle val="lineMarker"/>
        <c:varyColors val="0"/>
        <c:ser>
          <c:idx val="0"/>
          <c:order val="0"/>
          <c:tx>
            <c:v>WA</c:v>
          </c:tx>
          <c:spPr>
            <a:ln w="25400">
              <a:solidFill>
                <a:schemeClr val="tx2">
                  <a:lumMod val="75000"/>
                </a:schemeClr>
              </a:solidFill>
              <a:prstDash val="solid"/>
            </a:ln>
          </c:spPr>
          <c:marker>
            <c:symbol val="none"/>
          </c:marker>
          <c:xVal>
            <c:numRef>
              <c:f>'Crop Data'!$A$59:$A$81</c:f>
              <c:numCache>
                <c:formatCode>###0;[Red]\-###0</c:formatCode>
                <c:ptCount val="23"/>
                <c:pt idx="0">
                  <c:v>2000</c:v>
                </c:pt>
                <c:pt idx="1">
                  <c:v>2001</c:v>
                </c:pt>
                <c:pt idx="2">
                  <c:v>2002</c:v>
                </c:pt>
                <c:pt idx="3">
                  <c:v>2003</c:v>
                </c:pt>
                <c:pt idx="4">
                  <c:v>2004</c:v>
                </c:pt>
                <c:pt idx="5">
                  <c:v>2005</c:v>
                </c:pt>
                <c:pt idx="6">
                  <c:v>2006</c:v>
                </c:pt>
                <c:pt idx="7">
                  <c:v>2007</c:v>
                </c:pt>
                <c:pt idx="8">
                  <c:v>2008</c:v>
                </c:pt>
                <c:pt idx="9">
                  <c:v>2009</c:v>
                </c:pt>
                <c:pt idx="10">
                  <c:v>2010</c:v>
                </c:pt>
                <c:pt idx="11">
                  <c:v>2011</c:v>
                </c:pt>
                <c:pt idx="12">
                  <c:v>2012</c:v>
                </c:pt>
                <c:pt idx="13">
                  <c:v>2013</c:v>
                </c:pt>
                <c:pt idx="14">
                  <c:v>2014</c:v>
                </c:pt>
                <c:pt idx="15">
                  <c:v>2015</c:v>
                </c:pt>
                <c:pt idx="16">
                  <c:v>2016</c:v>
                </c:pt>
                <c:pt idx="17">
                  <c:v>2017</c:v>
                </c:pt>
                <c:pt idx="18">
                  <c:v>2018</c:v>
                </c:pt>
                <c:pt idx="19">
                  <c:v>2019</c:v>
                </c:pt>
                <c:pt idx="20">
                  <c:v>2020</c:v>
                </c:pt>
                <c:pt idx="21">
                  <c:v>2021</c:v>
                </c:pt>
                <c:pt idx="22">
                  <c:v>2022</c:v>
                </c:pt>
              </c:numCache>
            </c:numRef>
          </c:xVal>
          <c:yVal>
            <c:numRef>
              <c:f>'Crop Data'!$B$59:$B$81</c:f>
              <c:numCache>
                <c:formatCode>#,##0.00_);[Red]\(#,##0.00\)</c:formatCode>
                <c:ptCount val="23"/>
                <c:pt idx="0">
                  <c:v>1.9762949956101843</c:v>
                </c:pt>
                <c:pt idx="1">
                  <c:v>1.3035874439461883</c:v>
                </c:pt>
                <c:pt idx="2">
                  <c:v>1.7839080459770116</c:v>
                </c:pt>
                <c:pt idx="3">
                  <c:v>0.90780619111709282</c:v>
                </c:pt>
                <c:pt idx="4">
                  <c:v>2.2513727882855399</c:v>
                </c:pt>
                <c:pt idx="5">
                  <c:v>1.6840562719812426</c:v>
                </c:pt>
                <c:pt idx="6">
                  <c:v>1.9120555438670312</c:v>
                </c:pt>
                <c:pt idx="7">
                  <c:v>1.271736437948972</c:v>
                </c:pt>
                <c:pt idx="8">
                  <c:v>1.366838891498356</c:v>
                </c:pt>
                <c:pt idx="9">
                  <c:v>1.8216644649933951</c:v>
                </c:pt>
                <c:pt idx="10">
                  <c:v>1.6224755048990203</c:v>
                </c:pt>
                <c:pt idx="11">
                  <c:v>1.0786637931034482</c:v>
                </c:pt>
                <c:pt idx="12">
                  <c:v>2.1421644685802947</c:v>
                </c:pt>
                <c:pt idx="13">
                  <c:v>1.3630769230769231</c:v>
                </c:pt>
                <c:pt idx="14">
                  <c:v>1.9505376344086021</c:v>
                </c:pt>
                <c:pt idx="15">
                  <c:v>1.7400907118911457</c:v>
                </c:pt>
                <c:pt idx="16">
                  <c:v>1.8438041594454073</c:v>
                </c:pt>
                <c:pt idx="17">
                  <c:v>2.0617785378366822</c:v>
                </c:pt>
                <c:pt idx="18">
                  <c:v>1.8977076657628791</c:v>
                </c:pt>
                <c:pt idx="19">
                  <c:v>2.2840466926070038</c:v>
                </c:pt>
                <c:pt idx="20">
                  <c:v>1.4136036973407216</c:v>
                </c:pt>
                <c:pt idx="21">
                  <c:v>2.0038742023701004</c:v>
                </c:pt>
                <c:pt idx="22">
                  <c:v>2.5454545454545454</c:v>
                </c:pt>
              </c:numCache>
            </c:numRef>
          </c:yVal>
          <c:smooth val="0"/>
          <c:extLst xmlns:c15="http://schemas.microsoft.com/office/drawing/2012/chart">
            <c:ext xmlns:c16="http://schemas.microsoft.com/office/drawing/2014/chart" uri="{C3380CC4-5D6E-409C-BE32-E72D297353CC}">
              <c16:uniqueId val="{00000000-1EA1-487A-AAED-987F44B6C85A}"/>
            </c:ext>
          </c:extLst>
        </c:ser>
        <c:ser>
          <c:idx val="1"/>
          <c:order val="1"/>
          <c:tx>
            <c:v>Australia</c:v>
          </c:tx>
          <c:spPr>
            <a:ln>
              <a:solidFill>
                <a:schemeClr val="accent6">
                  <a:lumMod val="50000"/>
                </a:schemeClr>
              </a:solidFill>
            </a:ln>
          </c:spPr>
          <c:marker>
            <c:symbol val="none"/>
          </c:marker>
          <c:xVal>
            <c:numRef>
              <c:f>'Crop Data'!$A$59:$A$81</c:f>
              <c:numCache>
                <c:formatCode>###0;[Red]\-###0</c:formatCode>
                <c:ptCount val="23"/>
                <c:pt idx="0">
                  <c:v>2000</c:v>
                </c:pt>
                <c:pt idx="1">
                  <c:v>2001</c:v>
                </c:pt>
                <c:pt idx="2">
                  <c:v>2002</c:v>
                </c:pt>
                <c:pt idx="3">
                  <c:v>2003</c:v>
                </c:pt>
                <c:pt idx="4">
                  <c:v>2004</c:v>
                </c:pt>
                <c:pt idx="5">
                  <c:v>2005</c:v>
                </c:pt>
                <c:pt idx="6">
                  <c:v>2006</c:v>
                </c:pt>
                <c:pt idx="7">
                  <c:v>2007</c:v>
                </c:pt>
                <c:pt idx="8">
                  <c:v>2008</c:v>
                </c:pt>
                <c:pt idx="9">
                  <c:v>2009</c:v>
                </c:pt>
                <c:pt idx="10">
                  <c:v>2010</c:v>
                </c:pt>
                <c:pt idx="11">
                  <c:v>2011</c:v>
                </c:pt>
                <c:pt idx="12">
                  <c:v>2012</c:v>
                </c:pt>
                <c:pt idx="13">
                  <c:v>2013</c:v>
                </c:pt>
                <c:pt idx="14">
                  <c:v>2014</c:v>
                </c:pt>
                <c:pt idx="15">
                  <c:v>2015</c:v>
                </c:pt>
                <c:pt idx="16">
                  <c:v>2016</c:v>
                </c:pt>
                <c:pt idx="17">
                  <c:v>2017</c:v>
                </c:pt>
                <c:pt idx="18">
                  <c:v>2018</c:v>
                </c:pt>
                <c:pt idx="19">
                  <c:v>2019</c:v>
                </c:pt>
                <c:pt idx="20">
                  <c:v>2020</c:v>
                </c:pt>
                <c:pt idx="21">
                  <c:v>2021</c:v>
                </c:pt>
                <c:pt idx="22">
                  <c:v>2022</c:v>
                </c:pt>
              </c:numCache>
            </c:numRef>
          </c:xVal>
          <c:yVal>
            <c:numRef>
              <c:f>'Crop Data'!$H$59:$H$81</c:f>
              <c:numCache>
                <c:formatCode>#,##0.00_);[Red]\(#,##0.00\)</c:formatCode>
                <c:ptCount val="23"/>
                <c:pt idx="0">
                  <c:v>2.1825827576549459</c:v>
                </c:pt>
                <c:pt idx="1">
                  <c:v>2.2115281774665068</c:v>
                </c:pt>
                <c:pt idx="2">
                  <c:v>2.4396338844413172</c:v>
                </c:pt>
                <c:pt idx="3">
                  <c:v>1.3765504957618051</c:v>
                </c:pt>
                <c:pt idx="4">
                  <c:v>2.1248245150717442</c:v>
                </c:pt>
                <c:pt idx="5">
                  <c:v>2.0271342999095583</c:v>
                </c:pt>
                <c:pt idx="6">
                  <c:v>2.3496522874384254</c:v>
                </c:pt>
                <c:pt idx="7">
                  <c:v>1.1821934812165098</c:v>
                </c:pt>
                <c:pt idx="8">
                  <c:v>1.6113433727659725</c:v>
                </c:pt>
                <c:pt idx="9">
                  <c:v>1.9286801483893186</c:v>
                </c:pt>
                <c:pt idx="10">
                  <c:v>1.947677866396581</c:v>
                </c:pt>
                <c:pt idx="11">
                  <c:v>2.4189486528769177</c:v>
                </c:pt>
                <c:pt idx="12">
                  <c:v>2.5428460160355093</c:v>
                </c:pt>
                <c:pt idx="13">
                  <c:v>2.3991333895300122</c:v>
                </c:pt>
                <c:pt idx="14">
                  <c:v>2.5213219463227321</c:v>
                </c:pt>
                <c:pt idx="15">
                  <c:v>2.5244461742457323</c:v>
                </c:pt>
                <c:pt idx="16">
                  <c:v>2.433113397835633</c:v>
                </c:pt>
                <c:pt idx="17">
                  <c:v>3.1873229080310934</c:v>
                </c:pt>
                <c:pt idx="18">
                  <c:v>1.8747851045780926</c:v>
                </c:pt>
                <c:pt idx="19">
                  <c:v>1.4689661922227084</c:v>
                </c:pt>
                <c:pt idx="20">
                  <c:v>2.2441981760913059</c:v>
                </c:pt>
                <c:pt idx="21">
                  <c:v>3.178949552505967</c:v>
                </c:pt>
              </c:numCache>
            </c:numRef>
          </c:yVal>
          <c:smooth val="0"/>
          <c:extLst>
            <c:ext xmlns:c16="http://schemas.microsoft.com/office/drawing/2014/chart" uri="{C3380CC4-5D6E-409C-BE32-E72D297353CC}">
              <c16:uniqueId val="{00000001-1EA1-487A-AAED-987F44B6C85A}"/>
            </c:ext>
          </c:extLst>
        </c:ser>
        <c:dLbls>
          <c:showLegendKey val="0"/>
          <c:showVal val="0"/>
          <c:showCatName val="0"/>
          <c:showSerName val="0"/>
          <c:showPercent val="0"/>
          <c:showBubbleSize val="0"/>
        </c:dLbls>
        <c:axId val="381295232"/>
        <c:axId val="381301120"/>
        <c:extLst/>
      </c:scatterChart>
      <c:valAx>
        <c:axId val="381295232"/>
        <c:scaling>
          <c:orientation val="minMax"/>
          <c:max val="2023"/>
          <c:min val="2000"/>
        </c:scaling>
        <c:delete val="0"/>
        <c:axPos val="b"/>
        <c:majorGridlines>
          <c:spPr>
            <a:ln w="3175">
              <a:solidFill>
                <a:schemeClr val="bg1">
                  <a:lumMod val="75000"/>
                </a:schemeClr>
              </a:solidFill>
              <a:prstDash val="sysDash"/>
            </a:ln>
          </c:spPr>
        </c:majorGridlines>
        <c:minorGridlines/>
        <c:numFmt formatCode="#0;[Red]\-#0" sourceLinked="0"/>
        <c:majorTickMark val="out"/>
        <c:minorTickMark val="in"/>
        <c:tickLblPos val="nextTo"/>
        <c:spPr>
          <a:ln w="3175">
            <a:noFill/>
            <a:prstDash val="solid"/>
          </a:ln>
        </c:spPr>
        <c:txPr>
          <a:bodyPr rot="0" vert="horz"/>
          <a:lstStyle/>
          <a:p>
            <a:pPr>
              <a:defRPr sz="900" b="0" i="0" u="none" strike="noStrike" baseline="0">
                <a:solidFill>
                  <a:srgbClr val="000000"/>
                </a:solidFill>
                <a:latin typeface="Arial"/>
                <a:ea typeface="Arial"/>
                <a:cs typeface="Arial"/>
              </a:defRPr>
            </a:pPr>
            <a:endParaRPr lang="en-US"/>
          </a:p>
        </c:txPr>
        <c:crossAx val="381301120"/>
        <c:crossesAt val="-9999"/>
        <c:crossBetween val="midCat"/>
        <c:majorUnit val="5"/>
        <c:minorUnit val="5"/>
      </c:valAx>
      <c:valAx>
        <c:axId val="381301120"/>
        <c:scaling>
          <c:orientation val="minMax"/>
          <c:max val="3.5"/>
          <c:min val="0"/>
        </c:scaling>
        <c:delete val="0"/>
        <c:axPos val="l"/>
        <c:majorGridlines>
          <c:spPr>
            <a:ln w="3175">
              <a:solidFill>
                <a:schemeClr val="bg1">
                  <a:lumMod val="75000"/>
                </a:schemeClr>
              </a:solidFill>
              <a:prstDash val="sysDash"/>
            </a:ln>
          </c:spPr>
        </c:majorGridlines>
        <c:minorGridlines>
          <c:spPr>
            <a:ln>
              <a:noFill/>
            </a:ln>
          </c:spPr>
        </c:minorGridlines>
        <c:numFmt formatCode="#,##0.0;[Red]\-#,##0.0;;@" sourceLinked="0"/>
        <c:majorTickMark val="out"/>
        <c:minorTickMark val="none"/>
        <c:tickLblPos val="nextTo"/>
        <c:spPr>
          <a:ln w="3175">
            <a:noFill/>
            <a:prstDash val="solid"/>
          </a:ln>
        </c:spPr>
        <c:txPr>
          <a:bodyPr rot="0" vert="horz"/>
          <a:lstStyle/>
          <a:p>
            <a:pPr>
              <a:defRPr sz="900" b="0" i="0" u="none" strike="noStrike" baseline="0">
                <a:solidFill>
                  <a:srgbClr val="000000"/>
                </a:solidFill>
                <a:latin typeface="Arial"/>
                <a:ea typeface="Arial"/>
                <a:cs typeface="Arial"/>
              </a:defRPr>
            </a:pPr>
            <a:endParaRPr lang="en-US"/>
          </a:p>
        </c:txPr>
        <c:crossAx val="381295232"/>
        <c:crossesAt val="-9999"/>
        <c:crossBetween val="midCat"/>
        <c:majorUnit val="0.5"/>
      </c:valAx>
      <c:spPr>
        <a:solidFill>
          <a:srgbClr val="FFFFFF"/>
        </a:solidFill>
        <a:ln w="12700">
          <a:noFill/>
          <a:prstDash val="solid"/>
        </a:ln>
      </c:spPr>
    </c:plotArea>
    <c:legend>
      <c:legendPos val="t"/>
      <c:layout>
        <c:manualLayout>
          <c:xMode val="edge"/>
          <c:yMode val="edge"/>
          <c:x val="0.67359832424793054"/>
          <c:y val="0.83950617283950613"/>
          <c:w val="0.16282051282051282"/>
          <c:h val="9.9800719354525141E-2"/>
        </c:manualLayout>
      </c:layout>
      <c:overlay val="0"/>
      <c:spPr>
        <a:solidFill>
          <a:schemeClr val="bg1"/>
        </a:solidFill>
      </c:spPr>
      <c:txPr>
        <a:bodyPr/>
        <a:lstStyle/>
        <a:p>
          <a:pPr>
            <a:defRPr sz="1000"/>
          </a:pPr>
          <a:endParaRPr lang="en-US"/>
        </a:p>
      </c:txPr>
    </c:legend>
    <c:plotVisOnly val="1"/>
    <c:dispBlanksAs val="gap"/>
    <c:showDLblsOverMax val="0"/>
  </c:chart>
  <c:spPr>
    <a:solidFill>
      <a:srgbClr val="FFFFFF"/>
    </a:solidFill>
    <a:ln w="3175">
      <a:noFill/>
      <a:prstDash val="solid"/>
    </a:ln>
  </c:spPr>
  <c:txPr>
    <a:bodyPr/>
    <a:lstStyle/>
    <a:p>
      <a:pPr>
        <a:defRPr sz="1025"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0">
                <a:latin typeface="+mn-lt"/>
              </a:defRPr>
            </a:pPr>
            <a:r>
              <a:rPr lang="en-US" sz="1400" b="0">
                <a:latin typeface="+mn-lt"/>
              </a:rPr>
              <a:t>Assumed Adoption of AFP and HB4 in</a:t>
            </a:r>
            <a:r>
              <a:rPr lang="en-US" sz="1400" b="0" baseline="0">
                <a:latin typeface="+mn-lt"/>
              </a:rPr>
              <a:t> Australia</a:t>
            </a:r>
            <a:endParaRPr lang="en-US" sz="1400" b="0">
              <a:latin typeface="+mn-lt"/>
            </a:endParaRPr>
          </a:p>
        </c:rich>
      </c:tx>
      <c:layout>
        <c:manualLayout>
          <c:xMode val="edge"/>
          <c:yMode val="edge"/>
          <c:x val="0.18857897570495991"/>
          <c:y val="6.1728395061728392E-3"/>
        </c:manualLayout>
      </c:layout>
      <c:overlay val="0"/>
    </c:title>
    <c:autoTitleDeleted val="0"/>
    <c:plotArea>
      <c:layout>
        <c:manualLayout>
          <c:layoutTarget val="inner"/>
          <c:xMode val="edge"/>
          <c:yMode val="edge"/>
          <c:x val="8.1394777575879929E-2"/>
          <c:y val="8.465320307183824E-2"/>
          <c:w val="0.88439582071471834"/>
          <c:h val="0.85676655001458146"/>
        </c:manualLayout>
      </c:layout>
      <c:scatterChart>
        <c:scatterStyle val="lineMarker"/>
        <c:varyColors val="0"/>
        <c:ser>
          <c:idx val="0"/>
          <c:order val="0"/>
          <c:tx>
            <c:v>AFP in Wheat</c:v>
          </c:tx>
          <c:spPr>
            <a:ln w="25400">
              <a:solidFill>
                <a:schemeClr val="accent6">
                  <a:lumMod val="75000"/>
                </a:schemeClr>
              </a:solidFill>
              <a:prstDash val="solid"/>
            </a:ln>
          </c:spPr>
          <c:marker>
            <c:symbol val="none"/>
          </c:marker>
          <c:xVal>
            <c:numRef>
              <c:f>Revenue!$A$51:$A$70</c:f>
              <c:numCache>
                <c:formatCode>###0;[Red]\-###0</c:formatCode>
                <c:ptCount val="20"/>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numCache>
            </c:numRef>
          </c:xVal>
          <c:yVal>
            <c:numRef>
              <c:f>Revenue!$B$51:$B$70</c:f>
              <c:numCache>
                <c:formatCode>#,##0.0;[Red]\-#,##0.0;;</c:formatCode>
                <c:ptCount val="20"/>
                <c:pt idx="0">
                  <c:v>0</c:v>
                </c:pt>
                <c:pt idx="1">
                  <c:v>0</c:v>
                </c:pt>
                <c:pt idx="2">
                  <c:v>0</c:v>
                </c:pt>
                <c:pt idx="3">
                  <c:v>2.2999999999999998</c:v>
                </c:pt>
                <c:pt idx="4">
                  <c:v>9.6</c:v>
                </c:pt>
                <c:pt idx="5">
                  <c:v>21.5</c:v>
                </c:pt>
                <c:pt idx="6">
                  <c:v>28.25</c:v>
                </c:pt>
                <c:pt idx="7">
                  <c:v>32.5</c:v>
                </c:pt>
                <c:pt idx="8">
                  <c:v>38.5</c:v>
                </c:pt>
                <c:pt idx="9">
                  <c:v>41.5</c:v>
                </c:pt>
                <c:pt idx="10">
                  <c:v>45</c:v>
                </c:pt>
                <c:pt idx="11">
                  <c:v>49</c:v>
                </c:pt>
                <c:pt idx="12">
                  <c:v>52.5</c:v>
                </c:pt>
                <c:pt idx="13">
                  <c:v>56.25</c:v>
                </c:pt>
                <c:pt idx="14">
                  <c:v>59</c:v>
                </c:pt>
                <c:pt idx="15">
                  <c:v>60.75</c:v>
                </c:pt>
                <c:pt idx="16">
                  <c:v>61.8</c:v>
                </c:pt>
                <c:pt idx="17">
                  <c:v>62.35</c:v>
                </c:pt>
                <c:pt idx="18">
                  <c:v>62.65</c:v>
                </c:pt>
                <c:pt idx="19">
                  <c:v>62.95</c:v>
                </c:pt>
              </c:numCache>
            </c:numRef>
          </c:yVal>
          <c:smooth val="0"/>
          <c:extLst xmlns:c15="http://schemas.microsoft.com/office/drawing/2012/chart">
            <c:ext xmlns:c16="http://schemas.microsoft.com/office/drawing/2014/chart" uri="{C3380CC4-5D6E-409C-BE32-E72D297353CC}">
              <c16:uniqueId val="{00000000-EF9D-495C-8278-275E1F1A6F6A}"/>
            </c:ext>
          </c:extLst>
        </c:ser>
        <c:ser>
          <c:idx val="1"/>
          <c:order val="1"/>
          <c:tx>
            <c:v>AFP in Barley</c:v>
          </c:tx>
          <c:spPr>
            <a:ln>
              <a:solidFill>
                <a:schemeClr val="accent3">
                  <a:lumMod val="60000"/>
                  <a:lumOff val="40000"/>
                </a:schemeClr>
              </a:solidFill>
            </a:ln>
          </c:spPr>
          <c:marker>
            <c:symbol val="none"/>
          </c:marker>
          <c:xVal>
            <c:numRef>
              <c:f>Revenue!$A$51:$A$70</c:f>
              <c:numCache>
                <c:formatCode>###0;[Red]\-###0</c:formatCode>
                <c:ptCount val="20"/>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numCache>
            </c:numRef>
          </c:xVal>
          <c:yVal>
            <c:numRef>
              <c:f>Revenue!$E$51:$E$70</c:f>
              <c:numCache>
                <c:formatCode>#,##0.0;[Red]\-#,##0.0;;</c:formatCode>
                <c:ptCount val="20"/>
                <c:pt idx="0">
                  <c:v>0</c:v>
                </c:pt>
                <c:pt idx="1">
                  <c:v>0</c:v>
                </c:pt>
                <c:pt idx="2">
                  <c:v>0</c:v>
                </c:pt>
                <c:pt idx="3">
                  <c:v>0</c:v>
                </c:pt>
                <c:pt idx="4">
                  <c:v>0</c:v>
                </c:pt>
                <c:pt idx="5">
                  <c:v>2.2999999999999998</c:v>
                </c:pt>
                <c:pt idx="6">
                  <c:v>9.6</c:v>
                </c:pt>
                <c:pt idx="7">
                  <c:v>21.5</c:v>
                </c:pt>
                <c:pt idx="8">
                  <c:v>28.25</c:v>
                </c:pt>
                <c:pt idx="9">
                  <c:v>32.5</c:v>
                </c:pt>
                <c:pt idx="10">
                  <c:v>38.5</c:v>
                </c:pt>
                <c:pt idx="11">
                  <c:v>41.5</c:v>
                </c:pt>
                <c:pt idx="12">
                  <c:v>45</c:v>
                </c:pt>
                <c:pt idx="13">
                  <c:v>49</c:v>
                </c:pt>
                <c:pt idx="14">
                  <c:v>52.5</c:v>
                </c:pt>
                <c:pt idx="15">
                  <c:v>56.25</c:v>
                </c:pt>
                <c:pt idx="16">
                  <c:v>59</c:v>
                </c:pt>
                <c:pt idx="17">
                  <c:v>60.75</c:v>
                </c:pt>
                <c:pt idx="18">
                  <c:v>61.8</c:v>
                </c:pt>
                <c:pt idx="19">
                  <c:v>62.35</c:v>
                </c:pt>
              </c:numCache>
            </c:numRef>
          </c:yVal>
          <c:smooth val="0"/>
          <c:extLst>
            <c:ext xmlns:c16="http://schemas.microsoft.com/office/drawing/2014/chart" uri="{C3380CC4-5D6E-409C-BE32-E72D297353CC}">
              <c16:uniqueId val="{00000001-EF9D-495C-8278-275E1F1A6F6A}"/>
            </c:ext>
          </c:extLst>
        </c:ser>
        <c:ser>
          <c:idx val="2"/>
          <c:order val="2"/>
          <c:tx>
            <c:v>HB4 in Wheat</c:v>
          </c:tx>
          <c:spPr>
            <a:ln>
              <a:solidFill>
                <a:schemeClr val="accent4">
                  <a:lumMod val="60000"/>
                  <a:lumOff val="40000"/>
                </a:schemeClr>
              </a:solidFill>
            </a:ln>
          </c:spPr>
          <c:marker>
            <c:symbol val="none"/>
          </c:marker>
          <c:xVal>
            <c:numRef>
              <c:f>Revenue!$A$51:$A$70</c:f>
              <c:numCache>
                <c:formatCode>###0;[Red]\-###0</c:formatCode>
                <c:ptCount val="20"/>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numCache>
            </c:numRef>
          </c:xVal>
          <c:yVal>
            <c:numRef>
              <c:f>Revenue!$H$51:$H$70</c:f>
              <c:numCache>
                <c:formatCode>#,##0.0;[Red]\-#,##0.0;;</c:formatCode>
                <c:ptCount val="20"/>
                <c:pt idx="0">
                  <c:v>0</c:v>
                </c:pt>
                <c:pt idx="1">
                  <c:v>0</c:v>
                </c:pt>
                <c:pt idx="2">
                  <c:v>0</c:v>
                </c:pt>
                <c:pt idx="3">
                  <c:v>0</c:v>
                </c:pt>
                <c:pt idx="4">
                  <c:v>2.2999999999999998</c:v>
                </c:pt>
                <c:pt idx="5">
                  <c:v>9.6</c:v>
                </c:pt>
                <c:pt idx="6">
                  <c:v>21.5</c:v>
                </c:pt>
                <c:pt idx="7">
                  <c:v>28.25</c:v>
                </c:pt>
                <c:pt idx="8">
                  <c:v>32.5</c:v>
                </c:pt>
                <c:pt idx="9">
                  <c:v>38.5</c:v>
                </c:pt>
                <c:pt idx="10">
                  <c:v>41.5</c:v>
                </c:pt>
                <c:pt idx="11">
                  <c:v>45</c:v>
                </c:pt>
                <c:pt idx="12">
                  <c:v>49</c:v>
                </c:pt>
                <c:pt idx="13">
                  <c:v>52.5</c:v>
                </c:pt>
                <c:pt idx="14">
                  <c:v>56.25</c:v>
                </c:pt>
                <c:pt idx="15">
                  <c:v>59</c:v>
                </c:pt>
                <c:pt idx="16">
                  <c:v>60.75</c:v>
                </c:pt>
                <c:pt idx="17">
                  <c:v>61.8</c:v>
                </c:pt>
                <c:pt idx="18">
                  <c:v>62.35</c:v>
                </c:pt>
                <c:pt idx="19">
                  <c:v>62.65</c:v>
                </c:pt>
              </c:numCache>
            </c:numRef>
          </c:yVal>
          <c:smooth val="0"/>
          <c:extLst>
            <c:ext xmlns:c16="http://schemas.microsoft.com/office/drawing/2014/chart" uri="{C3380CC4-5D6E-409C-BE32-E72D297353CC}">
              <c16:uniqueId val="{00000000-7F22-48E2-991C-2C7DD1DDF5D6}"/>
            </c:ext>
          </c:extLst>
        </c:ser>
        <c:dLbls>
          <c:showLegendKey val="0"/>
          <c:showVal val="0"/>
          <c:showCatName val="0"/>
          <c:showSerName val="0"/>
          <c:showPercent val="0"/>
          <c:showBubbleSize val="0"/>
        </c:dLbls>
        <c:axId val="381295232"/>
        <c:axId val="381301120"/>
        <c:extLst/>
      </c:scatterChart>
      <c:valAx>
        <c:axId val="381295232"/>
        <c:scaling>
          <c:orientation val="minMax"/>
          <c:max val="2042"/>
          <c:min val="2022"/>
        </c:scaling>
        <c:delete val="0"/>
        <c:axPos val="b"/>
        <c:majorGridlines>
          <c:spPr>
            <a:ln w="3175">
              <a:solidFill>
                <a:schemeClr val="bg1">
                  <a:lumMod val="75000"/>
                </a:schemeClr>
              </a:solidFill>
              <a:prstDash val="sysDash"/>
            </a:ln>
          </c:spPr>
        </c:majorGridlines>
        <c:minorGridlines/>
        <c:numFmt formatCode="#0;[Red]\-#0" sourceLinked="0"/>
        <c:majorTickMark val="out"/>
        <c:minorTickMark val="in"/>
        <c:tickLblPos val="nextTo"/>
        <c:spPr>
          <a:ln w="3175">
            <a:noFill/>
            <a:prstDash val="solid"/>
          </a:ln>
        </c:spPr>
        <c:txPr>
          <a:bodyPr rot="0" vert="horz"/>
          <a:lstStyle/>
          <a:p>
            <a:pPr>
              <a:defRPr sz="900" b="0" i="0" u="none" strike="noStrike" baseline="0">
                <a:solidFill>
                  <a:srgbClr val="000000"/>
                </a:solidFill>
                <a:latin typeface="Arial"/>
                <a:ea typeface="Arial"/>
                <a:cs typeface="Arial"/>
              </a:defRPr>
            </a:pPr>
            <a:endParaRPr lang="en-US"/>
          </a:p>
        </c:txPr>
        <c:crossAx val="381301120"/>
        <c:crossesAt val="-9999"/>
        <c:crossBetween val="midCat"/>
        <c:majorUnit val="2"/>
        <c:minorUnit val="2"/>
      </c:valAx>
      <c:valAx>
        <c:axId val="381301120"/>
        <c:scaling>
          <c:orientation val="minMax"/>
          <c:max val="80"/>
          <c:min val="0"/>
        </c:scaling>
        <c:delete val="0"/>
        <c:axPos val="l"/>
        <c:majorGridlines>
          <c:spPr>
            <a:ln w="3175">
              <a:solidFill>
                <a:schemeClr val="bg1">
                  <a:lumMod val="75000"/>
                </a:schemeClr>
              </a:solidFill>
              <a:prstDash val="sysDash"/>
            </a:ln>
          </c:spPr>
        </c:majorGridlines>
        <c:minorGridlines>
          <c:spPr>
            <a:ln>
              <a:noFill/>
            </a:ln>
          </c:spPr>
        </c:minorGridlines>
        <c:title>
          <c:tx>
            <c:rich>
              <a:bodyPr/>
              <a:lstStyle/>
              <a:p>
                <a:pPr>
                  <a:defRPr/>
                </a:pPr>
                <a:r>
                  <a:rPr lang="en-AU"/>
                  <a:t>Uptake %</a:t>
                </a:r>
              </a:p>
            </c:rich>
          </c:tx>
          <c:layout>
            <c:manualLayout>
              <c:xMode val="edge"/>
              <c:yMode val="edge"/>
              <c:x val="2.2599098189649376E-3"/>
              <c:y val="0.43519685039370076"/>
            </c:manualLayout>
          </c:layout>
          <c:overlay val="0"/>
        </c:title>
        <c:numFmt formatCode="#,##0;[Red]\-#,##0;;@" sourceLinked="0"/>
        <c:majorTickMark val="out"/>
        <c:minorTickMark val="none"/>
        <c:tickLblPos val="nextTo"/>
        <c:spPr>
          <a:ln w="3175">
            <a:noFill/>
            <a:prstDash val="solid"/>
          </a:ln>
        </c:spPr>
        <c:txPr>
          <a:bodyPr rot="0" vert="horz"/>
          <a:lstStyle/>
          <a:p>
            <a:pPr>
              <a:defRPr sz="900" b="0" i="0" u="none" strike="noStrike" baseline="0">
                <a:solidFill>
                  <a:srgbClr val="000000"/>
                </a:solidFill>
                <a:latin typeface="Arial"/>
                <a:ea typeface="Arial"/>
                <a:cs typeface="Arial"/>
              </a:defRPr>
            </a:pPr>
            <a:endParaRPr lang="en-US"/>
          </a:p>
        </c:txPr>
        <c:crossAx val="381295232"/>
        <c:crossesAt val="-9999"/>
        <c:crossBetween val="midCat"/>
        <c:majorUnit val="10"/>
        <c:minorUnit val="10"/>
      </c:valAx>
      <c:spPr>
        <a:solidFill>
          <a:srgbClr val="FFFFFF"/>
        </a:solidFill>
        <a:ln w="12700">
          <a:noFill/>
          <a:prstDash val="solid"/>
        </a:ln>
      </c:spPr>
    </c:plotArea>
    <c:legend>
      <c:legendPos val="t"/>
      <c:layout>
        <c:manualLayout>
          <c:xMode val="edge"/>
          <c:yMode val="edge"/>
          <c:x val="9.2401743051349294E-2"/>
          <c:y val="0.11419753086419751"/>
          <c:w val="0.23024782959822329"/>
          <c:h val="0.22550379119276756"/>
        </c:manualLayout>
      </c:layout>
      <c:overlay val="0"/>
      <c:spPr>
        <a:solidFill>
          <a:schemeClr val="bg1"/>
        </a:solidFill>
      </c:spPr>
      <c:txPr>
        <a:bodyPr/>
        <a:lstStyle/>
        <a:p>
          <a:pPr>
            <a:defRPr sz="1000"/>
          </a:pPr>
          <a:endParaRPr lang="en-US"/>
        </a:p>
      </c:txPr>
    </c:legend>
    <c:plotVisOnly val="1"/>
    <c:dispBlanksAs val="gap"/>
    <c:showDLblsOverMax val="0"/>
  </c:chart>
  <c:spPr>
    <a:solidFill>
      <a:srgbClr val="FFFFFF"/>
    </a:solidFill>
    <a:ln w="3175">
      <a:noFill/>
      <a:prstDash val="solid"/>
    </a:ln>
  </c:spPr>
  <c:txPr>
    <a:bodyPr/>
    <a:lstStyle/>
    <a:p>
      <a:pPr>
        <a:defRPr sz="1025"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0">
                <a:latin typeface="+mn-lt"/>
              </a:defRPr>
            </a:pPr>
            <a:r>
              <a:rPr lang="en-US" sz="1400" b="0">
                <a:latin typeface="+mn-lt"/>
              </a:rPr>
              <a:t>Projected Revenue</a:t>
            </a:r>
            <a:r>
              <a:rPr lang="en-US" sz="1400" b="0" baseline="0">
                <a:latin typeface="+mn-lt"/>
              </a:rPr>
              <a:t> in Australia</a:t>
            </a:r>
            <a:r>
              <a:rPr lang="en-US" sz="1400" b="0">
                <a:latin typeface="+mn-lt"/>
              </a:rPr>
              <a:t>, $m per year</a:t>
            </a:r>
          </a:p>
        </c:rich>
      </c:tx>
      <c:layout>
        <c:manualLayout>
          <c:xMode val="edge"/>
          <c:yMode val="edge"/>
          <c:x val="0.14124745642749711"/>
          <c:y val="7.5234992935959664E-3"/>
        </c:manualLayout>
      </c:layout>
      <c:overlay val="0"/>
    </c:title>
    <c:autoTitleDeleted val="0"/>
    <c:plotArea>
      <c:layout>
        <c:manualLayout>
          <c:layoutTarget val="inner"/>
          <c:xMode val="edge"/>
          <c:yMode val="edge"/>
          <c:x val="7.2847769028871384E-2"/>
          <c:y val="0.1604245536220775"/>
          <c:w val="0.89294282926172686"/>
          <c:h val="0.71785494756579882"/>
        </c:manualLayout>
      </c:layout>
      <c:scatterChart>
        <c:scatterStyle val="lineMarker"/>
        <c:varyColors val="0"/>
        <c:ser>
          <c:idx val="0"/>
          <c:order val="0"/>
          <c:tx>
            <c:v>Revenue</c:v>
          </c:tx>
          <c:spPr>
            <a:ln w="25400">
              <a:solidFill>
                <a:srgbClr val="008000"/>
              </a:solidFill>
              <a:prstDash val="solid"/>
            </a:ln>
          </c:spPr>
          <c:marker>
            <c:symbol val="none"/>
          </c:marker>
          <c:xVal>
            <c:numRef>
              <c:f>Revenue!$A$51:$A$70</c:f>
              <c:numCache>
                <c:formatCode>###0;[Red]\-###0</c:formatCode>
                <c:ptCount val="20"/>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numCache>
            </c:numRef>
          </c:xVal>
          <c:yVal>
            <c:numRef>
              <c:f>Revenue!$K$51:$K$70</c:f>
              <c:numCache>
                <c:formatCode>#,##0.0;[Red]\-#,##0.0;</c:formatCode>
                <c:ptCount val="20"/>
                <c:pt idx="0">
                  <c:v>0</c:v>
                </c:pt>
                <c:pt idx="1">
                  <c:v>0</c:v>
                </c:pt>
                <c:pt idx="2">
                  <c:v>0</c:v>
                </c:pt>
                <c:pt idx="3">
                  <c:v>2.7640594999999992</c:v>
                </c:pt>
                <c:pt idx="4">
                  <c:v>14.3010035</c:v>
                </c:pt>
                <c:pt idx="5">
                  <c:v>38.511675079000007</c:v>
                </c:pt>
                <c:pt idx="6">
                  <c:v>64.532644558000015</c:v>
                </c:pt>
                <c:pt idx="7">
                  <c:v>83.633678945000014</c:v>
                </c:pt>
                <c:pt idx="8">
                  <c:v>99.28798287250001</c:v>
                </c:pt>
                <c:pt idx="9">
                  <c:v>112.204446225</c:v>
                </c:pt>
                <c:pt idx="10">
                  <c:v>122.981441105</c:v>
                </c:pt>
                <c:pt idx="11">
                  <c:v>133.47743979500001</c:v>
                </c:pt>
                <c:pt idx="12">
                  <c:v>144.22056535000002</c:v>
                </c:pt>
                <c:pt idx="13">
                  <c:v>154.91037652</c:v>
                </c:pt>
                <c:pt idx="14">
                  <c:v>164.45173707499998</c:v>
                </c:pt>
                <c:pt idx="15">
                  <c:v>171.71313106249997</c:v>
                </c:pt>
                <c:pt idx="16">
                  <c:v>176.43727081999998</c:v>
                </c:pt>
                <c:pt idx="17">
                  <c:v>179.2250388475</c:v>
                </c:pt>
                <c:pt idx="18">
                  <c:v>180.76550551399998</c:v>
                </c:pt>
                <c:pt idx="19">
                  <c:v>181.7584040655</c:v>
                </c:pt>
              </c:numCache>
            </c:numRef>
          </c:yVal>
          <c:smooth val="0"/>
          <c:extLst xmlns:c15="http://schemas.microsoft.com/office/drawing/2012/chart">
            <c:ext xmlns:c16="http://schemas.microsoft.com/office/drawing/2014/chart" uri="{C3380CC4-5D6E-409C-BE32-E72D297353CC}">
              <c16:uniqueId val="{00000000-EF9D-495C-8278-275E1F1A6F6A}"/>
            </c:ext>
          </c:extLst>
        </c:ser>
        <c:dLbls>
          <c:showLegendKey val="0"/>
          <c:showVal val="0"/>
          <c:showCatName val="0"/>
          <c:showSerName val="0"/>
          <c:showPercent val="0"/>
          <c:showBubbleSize val="0"/>
        </c:dLbls>
        <c:axId val="381295232"/>
        <c:axId val="381301120"/>
        <c:extLst/>
      </c:scatterChart>
      <c:valAx>
        <c:axId val="381295232"/>
        <c:scaling>
          <c:orientation val="minMax"/>
          <c:max val="2034"/>
          <c:min val="2022"/>
        </c:scaling>
        <c:delete val="0"/>
        <c:axPos val="b"/>
        <c:majorGridlines>
          <c:spPr>
            <a:ln w="3175">
              <a:solidFill>
                <a:schemeClr val="bg1">
                  <a:lumMod val="75000"/>
                </a:schemeClr>
              </a:solidFill>
              <a:prstDash val="sysDash"/>
            </a:ln>
          </c:spPr>
        </c:majorGridlines>
        <c:minorGridlines/>
        <c:numFmt formatCode="#0;[Red]\-#0" sourceLinked="0"/>
        <c:majorTickMark val="out"/>
        <c:minorTickMark val="in"/>
        <c:tickLblPos val="nextTo"/>
        <c:spPr>
          <a:ln w="3175">
            <a:noFill/>
            <a:prstDash val="solid"/>
          </a:ln>
        </c:spPr>
        <c:txPr>
          <a:bodyPr rot="0" vert="horz"/>
          <a:lstStyle/>
          <a:p>
            <a:pPr>
              <a:defRPr sz="900" b="0" i="0" u="none" strike="noStrike" baseline="0">
                <a:solidFill>
                  <a:srgbClr val="000000"/>
                </a:solidFill>
                <a:latin typeface="Arial"/>
                <a:ea typeface="Arial"/>
                <a:cs typeface="Arial"/>
              </a:defRPr>
            </a:pPr>
            <a:endParaRPr lang="en-US"/>
          </a:p>
        </c:txPr>
        <c:crossAx val="381301120"/>
        <c:crossesAt val="-9999"/>
        <c:crossBetween val="midCat"/>
        <c:majorUnit val="2"/>
        <c:minorUnit val="2"/>
      </c:valAx>
      <c:valAx>
        <c:axId val="381301120"/>
        <c:scaling>
          <c:orientation val="minMax"/>
          <c:min val="0"/>
        </c:scaling>
        <c:delete val="0"/>
        <c:axPos val="l"/>
        <c:majorGridlines>
          <c:spPr>
            <a:ln w="3175">
              <a:solidFill>
                <a:schemeClr val="bg1">
                  <a:lumMod val="75000"/>
                </a:schemeClr>
              </a:solidFill>
              <a:prstDash val="sysDash"/>
            </a:ln>
          </c:spPr>
        </c:majorGridlines>
        <c:minorGridlines>
          <c:spPr>
            <a:ln>
              <a:noFill/>
            </a:ln>
          </c:spPr>
        </c:minorGridlines>
        <c:numFmt formatCode="#,##0;[Red]\-#,##0;;@" sourceLinked="0"/>
        <c:majorTickMark val="out"/>
        <c:minorTickMark val="none"/>
        <c:tickLblPos val="nextTo"/>
        <c:spPr>
          <a:ln w="3175">
            <a:noFill/>
            <a:prstDash val="solid"/>
          </a:ln>
        </c:spPr>
        <c:txPr>
          <a:bodyPr rot="0" vert="horz"/>
          <a:lstStyle/>
          <a:p>
            <a:pPr>
              <a:defRPr sz="900" b="0" i="0" u="none" strike="noStrike" baseline="0">
                <a:solidFill>
                  <a:srgbClr val="000000"/>
                </a:solidFill>
                <a:latin typeface="Arial"/>
                <a:ea typeface="Arial"/>
                <a:cs typeface="Arial"/>
              </a:defRPr>
            </a:pPr>
            <a:endParaRPr lang="en-US"/>
          </a:p>
        </c:txPr>
        <c:crossAx val="381295232"/>
        <c:crossesAt val="-9999"/>
        <c:crossBetween val="midCat"/>
        <c:majorUnit val="25"/>
        <c:minorUnit val="10"/>
      </c:valAx>
      <c:spPr>
        <a:noFill/>
        <a:ln w="25400">
          <a:noFill/>
        </a:ln>
      </c:spPr>
    </c:plotArea>
    <c:plotVisOnly val="1"/>
    <c:dispBlanksAs val="gap"/>
    <c:showDLblsOverMax val="0"/>
  </c:chart>
  <c:spPr>
    <a:solidFill>
      <a:srgbClr val="FFFFFF"/>
    </a:solidFill>
    <a:ln w="3175">
      <a:noFill/>
      <a:prstDash val="solid"/>
    </a:ln>
  </c:spPr>
  <c:txPr>
    <a:bodyPr/>
    <a:lstStyle/>
    <a:p>
      <a:pPr>
        <a:defRPr sz="1025"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0">
                <a:latin typeface="+mn-lt"/>
              </a:defRPr>
            </a:pPr>
            <a:r>
              <a:rPr lang="en-US" sz="1400" b="0">
                <a:latin typeface="+mn-lt"/>
              </a:rPr>
              <a:t>Possible Adoption Curves</a:t>
            </a:r>
          </a:p>
        </c:rich>
      </c:tx>
      <c:layout>
        <c:manualLayout>
          <c:xMode val="edge"/>
          <c:yMode val="edge"/>
          <c:x val="0.34028837741436169"/>
          <c:y val="6.1728395061728392E-3"/>
        </c:manualLayout>
      </c:layout>
      <c:overlay val="0"/>
    </c:title>
    <c:autoTitleDeleted val="0"/>
    <c:plotArea>
      <c:layout>
        <c:manualLayout>
          <c:layoutTarget val="inner"/>
          <c:xMode val="edge"/>
          <c:yMode val="edge"/>
          <c:x val="8.7805033986136344E-2"/>
          <c:y val="8.465320307183824E-2"/>
          <c:w val="0.87798556430446206"/>
          <c:h val="0.80738383396519875"/>
        </c:manualLayout>
      </c:layout>
      <c:scatterChart>
        <c:scatterStyle val="lineMarker"/>
        <c:varyColors val="0"/>
        <c:ser>
          <c:idx val="0"/>
          <c:order val="0"/>
          <c:tx>
            <c:v>1 - No-till</c:v>
          </c:tx>
          <c:spPr>
            <a:ln w="25400">
              <a:solidFill>
                <a:schemeClr val="accent2">
                  <a:lumMod val="75000"/>
                </a:schemeClr>
              </a:solidFill>
              <a:prstDash val="solid"/>
            </a:ln>
          </c:spPr>
          <c:marker>
            <c:symbol val="none"/>
          </c:marker>
          <c:xVal>
            <c:numRef>
              <c:f>Revenue!$A$25:$A$44</c:f>
              <c:numCache>
                <c:formatCode>#,##0_);[Red]\(#,##0\)</c:formatCode>
                <c:ptCount val="20"/>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numCache>
            </c:numRef>
          </c:xVal>
          <c:yVal>
            <c:numRef>
              <c:f>Revenue!$B$25:$B$44</c:f>
              <c:numCache>
                <c:formatCode>#,##0.0;[Red]\-#,##0.0</c:formatCode>
                <c:ptCount val="20"/>
                <c:pt idx="0">
                  <c:v>0</c:v>
                </c:pt>
                <c:pt idx="1">
                  <c:v>0.1</c:v>
                </c:pt>
                <c:pt idx="2">
                  <c:v>0.2</c:v>
                </c:pt>
                <c:pt idx="3">
                  <c:v>1</c:v>
                </c:pt>
                <c:pt idx="4">
                  <c:v>2.5</c:v>
                </c:pt>
                <c:pt idx="5">
                  <c:v>5</c:v>
                </c:pt>
                <c:pt idx="6">
                  <c:v>9</c:v>
                </c:pt>
                <c:pt idx="7">
                  <c:v>15</c:v>
                </c:pt>
                <c:pt idx="8">
                  <c:v>22</c:v>
                </c:pt>
                <c:pt idx="9">
                  <c:v>30</c:v>
                </c:pt>
                <c:pt idx="10">
                  <c:v>37</c:v>
                </c:pt>
                <c:pt idx="11">
                  <c:v>44.5</c:v>
                </c:pt>
                <c:pt idx="12">
                  <c:v>50</c:v>
                </c:pt>
                <c:pt idx="13">
                  <c:v>53.5</c:v>
                </c:pt>
                <c:pt idx="14">
                  <c:v>55.6</c:v>
                </c:pt>
                <c:pt idx="15">
                  <c:v>56.7</c:v>
                </c:pt>
                <c:pt idx="16">
                  <c:v>57.3</c:v>
                </c:pt>
                <c:pt idx="17">
                  <c:v>57.9</c:v>
                </c:pt>
                <c:pt idx="18">
                  <c:v>58.6</c:v>
                </c:pt>
                <c:pt idx="19">
                  <c:v>60</c:v>
                </c:pt>
              </c:numCache>
            </c:numRef>
          </c:yVal>
          <c:smooth val="0"/>
          <c:extLst xmlns:c15="http://schemas.microsoft.com/office/drawing/2012/chart">
            <c:ext xmlns:c16="http://schemas.microsoft.com/office/drawing/2014/chart" uri="{C3380CC4-5D6E-409C-BE32-E72D297353CC}">
              <c16:uniqueId val="{00000000-C364-4F02-9443-C9B325677177}"/>
            </c:ext>
          </c:extLst>
        </c:ser>
        <c:ser>
          <c:idx val="1"/>
          <c:order val="1"/>
          <c:tx>
            <c:v>2 - Medium</c:v>
          </c:tx>
          <c:spPr>
            <a:ln>
              <a:solidFill>
                <a:srgbClr val="008000"/>
              </a:solidFill>
            </a:ln>
          </c:spPr>
          <c:marker>
            <c:symbol val="none"/>
          </c:marker>
          <c:xVal>
            <c:numRef>
              <c:f>Revenue!$A$25:$A$44</c:f>
              <c:numCache>
                <c:formatCode>#,##0_);[Red]\(#,##0\)</c:formatCode>
                <c:ptCount val="20"/>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numCache>
            </c:numRef>
          </c:xVal>
          <c:yVal>
            <c:numRef>
              <c:f>Revenue!$C$25:$C$44</c:f>
              <c:numCache>
                <c:formatCode>#,##0.0;[Red]\-#,##0.0</c:formatCode>
                <c:ptCount val="20"/>
                <c:pt idx="0">
                  <c:v>0</c:v>
                </c:pt>
                <c:pt idx="1">
                  <c:v>2.2999999999999998</c:v>
                </c:pt>
                <c:pt idx="2">
                  <c:v>9.6</c:v>
                </c:pt>
                <c:pt idx="3">
                  <c:v>21.5</c:v>
                </c:pt>
                <c:pt idx="4">
                  <c:v>28.25</c:v>
                </c:pt>
                <c:pt idx="5">
                  <c:v>32.5</c:v>
                </c:pt>
                <c:pt idx="6">
                  <c:v>38.5</c:v>
                </c:pt>
                <c:pt idx="7">
                  <c:v>41.5</c:v>
                </c:pt>
                <c:pt idx="8">
                  <c:v>45</c:v>
                </c:pt>
                <c:pt idx="9">
                  <c:v>49</c:v>
                </c:pt>
                <c:pt idx="10">
                  <c:v>52.5</c:v>
                </c:pt>
                <c:pt idx="11">
                  <c:v>56.25</c:v>
                </c:pt>
                <c:pt idx="12">
                  <c:v>59</c:v>
                </c:pt>
                <c:pt idx="13">
                  <c:v>60.75</c:v>
                </c:pt>
                <c:pt idx="14">
                  <c:v>61.8</c:v>
                </c:pt>
                <c:pt idx="15">
                  <c:v>62.35</c:v>
                </c:pt>
                <c:pt idx="16">
                  <c:v>62.65</c:v>
                </c:pt>
                <c:pt idx="17">
                  <c:v>62.95</c:v>
                </c:pt>
                <c:pt idx="18">
                  <c:v>63.3</c:v>
                </c:pt>
                <c:pt idx="19">
                  <c:v>64</c:v>
                </c:pt>
              </c:numCache>
            </c:numRef>
          </c:yVal>
          <c:smooth val="0"/>
          <c:extLst>
            <c:ext xmlns:c16="http://schemas.microsoft.com/office/drawing/2014/chart" uri="{C3380CC4-5D6E-409C-BE32-E72D297353CC}">
              <c16:uniqueId val="{00000001-C364-4F02-9443-C9B325677177}"/>
            </c:ext>
          </c:extLst>
        </c:ser>
        <c:ser>
          <c:idx val="2"/>
          <c:order val="2"/>
          <c:tx>
            <c:v>3 - Mace</c:v>
          </c:tx>
          <c:spPr>
            <a:ln>
              <a:solidFill>
                <a:srgbClr val="CC9900"/>
              </a:solidFill>
            </a:ln>
          </c:spPr>
          <c:marker>
            <c:symbol val="none"/>
          </c:marker>
          <c:xVal>
            <c:numRef>
              <c:f>Revenue!$A$25:$A$44</c:f>
              <c:numCache>
                <c:formatCode>#,##0_);[Red]\(#,##0\)</c:formatCode>
                <c:ptCount val="20"/>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numCache>
            </c:numRef>
          </c:xVal>
          <c:yVal>
            <c:numRef>
              <c:f>Revenue!$D$25:$D$44</c:f>
              <c:numCache>
                <c:formatCode>#,##0.0;[Red]\-#,##0.0</c:formatCode>
                <c:ptCount val="20"/>
                <c:pt idx="0">
                  <c:v>0</c:v>
                </c:pt>
                <c:pt idx="1">
                  <c:v>4.5</c:v>
                </c:pt>
                <c:pt idx="2">
                  <c:v>19</c:v>
                </c:pt>
                <c:pt idx="3">
                  <c:v>42</c:v>
                </c:pt>
                <c:pt idx="4">
                  <c:v>54</c:v>
                </c:pt>
                <c:pt idx="5">
                  <c:v>60</c:v>
                </c:pt>
                <c:pt idx="6">
                  <c:v>68</c:v>
                </c:pt>
                <c:pt idx="7">
                  <c:v>68</c:v>
                </c:pt>
                <c:pt idx="8">
                  <c:v>68</c:v>
                </c:pt>
                <c:pt idx="9">
                  <c:v>68</c:v>
                </c:pt>
                <c:pt idx="10">
                  <c:v>68</c:v>
                </c:pt>
                <c:pt idx="11">
                  <c:v>68</c:v>
                </c:pt>
                <c:pt idx="12">
                  <c:v>68</c:v>
                </c:pt>
                <c:pt idx="13">
                  <c:v>68</c:v>
                </c:pt>
                <c:pt idx="14">
                  <c:v>68</c:v>
                </c:pt>
                <c:pt idx="15">
                  <c:v>68</c:v>
                </c:pt>
                <c:pt idx="16">
                  <c:v>68</c:v>
                </c:pt>
                <c:pt idx="17">
                  <c:v>68</c:v>
                </c:pt>
                <c:pt idx="18">
                  <c:v>68</c:v>
                </c:pt>
                <c:pt idx="19">
                  <c:v>68</c:v>
                </c:pt>
              </c:numCache>
            </c:numRef>
          </c:yVal>
          <c:smooth val="0"/>
          <c:extLst>
            <c:ext xmlns:c16="http://schemas.microsoft.com/office/drawing/2014/chart" uri="{C3380CC4-5D6E-409C-BE32-E72D297353CC}">
              <c16:uniqueId val="{00000002-C364-4F02-9443-C9B325677177}"/>
            </c:ext>
          </c:extLst>
        </c:ser>
        <c:ser>
          <c:idx val="3"/>
          <c:order val="3"/>
          <c:tx>
            <c:v>4 - Custom</c:v>
          </c:tx>
          <c:spPr>
            <a:ln>
              <a:solidFill>
                <a:schemeClr val="tx2">
                  <a:lumMod val="40000"/>
                  <a:lumOff val="60000"/>
                </a:schemeClr>
              </a:solidFill>
              <a:prstDash val="dash"/>
            </a:ln>
          </c:spPr>
          <c:marker>
            <c:symbol val="none"/>
          </c:marker>
          <c:xVal>
            <c:numRef>
              <c:f>Revenue!$A$25:$A$44</c:f>
              <c:numCache>
                <c:formatCode>#,##0_);[Red]\(#,##0\)</c:formatCode>
                <c:ptCount val="20"/>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numCache>
            </c:numRef>
          </c:xVal>
          <c:yVal>
            <c:numRef>
              <c:f>Revenue!$E$25:$E$44</c:f>
              <c:numCache>
                <c:formatCode>#,##0.0;[Red]\-#,##0.0</c:formatCode>
                <c:ptCount val="20"/>
                <c:pt idx="0">
                  <c:v>0</c:v>
                </c:pt>
                <c:pt idx="1">
                  <c:v>0.1</c:v>
                </c:pt>
                <c:pt idx="2">
                  <c:v>0.2</c:v>
                </c:pt>
                <c:pt idx="3">
                  <c:v>0.5</c:v>
                </c:pt>
                <c:pt idx="4">
                  <c:v>1</c:v>
                </c:pt>
                <c:pt idx="5">
                  <c:v>2</c:v>
                </c:pt>
                <c:pt idx="6">
                  <c:v>5</c:v>
                </c:pt>
                <c:pt idx="7">
                  <c:v>10</c:v>
                </c:pt>
                <c:pt idx="8">
                  <c:v>20</c:v>
                </c:pt>
                <c:pt idx="9">
                  <c:v>30</c:v>
                </c:pt>
                <c:pt idx="10">
                  <c:v>40</c:v>
                </c:pt>
                <c:pt idx="11">
                  <c:v>50</c:v>
                </c:pt>
                <c:pt idx="12">
                  <c:v>55</c:v>
                </c:pt>
                <c:pt idx="13">
                  <c:v>60</c:v>
                </c:pt>
                <c:pt idx="14">
                  <c:v>65</c:v>
                </c:pt>
                <c:pt idx="15">
                  <c:v>70</c:v>
                </c:pt>
                <c:pt idx="16">
                  <c:v>70</c:v>
                </c:pt>
                <c:pt idx="17">
                  <c:v>70</c:v>
                </c:pt>
                <c:pt idx="18">
                  <c:v>70</c:v>
                </c:pt>
                <c:pt idx="19">
                  <c:v>70</c:v>
                </c:pt>
              </c:numCache>
            </c:numRef>
          </c:yVal>
          <c:smooth val="0"/>
          <c:extLst>
            <c:ext xmlns:c16="http://schemas.microsoft.com/office/drawing/2014/chart" uri="{C3380CC4-5D6E-409C-BE32-E72D297353CC}">
              <c16:uniqueId val="{00000003-C364-4F02-9443-C9B325677177}"/>
            </c:ext>
          </c:extLst>
        </c:ser>
        <c:dLbls>
          <c:showLegendKey val="0"/>
          <c:showVal val="0"/>
          <c:showCatName val="0"/>
          <c:showSerName val="0"/>
          <c:showPercent val="0"/>
          <c:showBubbleSize val="0"/>
        </c:dLbls>
        <c:axId val="381295232"/>
        <c:axId val="381301120"/>
        <c:extLst/>
      </c:scatterChart>
      <c:valAx>
        <c:axId val="381295232"/>
        <c:scaling>
          <c:orientation val="minMax"/>
          <c:max val="18"/>
          <c:min val="0"/>
        </c:scaling>
        <c:delete val="0"/>
        <c:axPos val="b"/>
        <c:majorGridlines>
          <c:spPr>
            <a:ln w="3175">
              <a:solidFill>
                <a:schemeClr val="bg1">
                  <a:lumMod val="75000"/>
                </a:schemeClr>
              </a:solidFill>
              <a:prstDash val="sysDash"/>
            </a:ln>
          </c:spPr>
        </c:majorGridlines>
        <c:minorGridlines/>
        <c:title>
          <c:tx>
            <c:rich>
              <a:bodyPr/>
              <a:lstStyle/>
              <a:p>
                <a:pPr>
                  <a:defRPr/>
                </a:pPr>
                <a:r>
                  <a:rPr lang="en-AU"/>
                  <a:t>Year</a:t>
                </a:r>
              </a:p>
            </c:rich>
          </c:tx>
          <c:layout>
            <c:manualLayout>
              <c:xMode val="edge"/>
              <c:yMode val="edge"/>
              <c:x val="0.47588969648024759"/>
              <c:y val="0.95370370370370383"/>
            </c:manualLayout>
          </c:layout>
          <c:overlay val="0"/>
        </c:title>
        <c:numFmt formatCode="#0;[Red]\-#0" sourceLinked="0"/>
        <c:majorTickMark val="out"/>
        <c:minorTickMark val="in"/>
        <c:tickLblPos val="nextTo"/>
        <c:spPr>
          <a:ln w="3175">
            <a:noFill/>
            <a:prstDash val="solid"/>
          </a:ln>
        </c:spPr>
        <c:txPr>
          <a:bodyPr rot="0" vert="horz"/>
          <a:lstStyle/>
          <a:p>
            <a:pPr>
              <a:defRPr sz="900" b="0" i="0" u="none" strike="noStrike" baseline="0">
                <a:solidFill>
                  <a:srgbClr val="000000"/>
                </a:solidFill>
                <a:latin typeface="Arial"/>
                <a:ea typeface="Arial"/>
                <a:cs typeface="Arial"/>
              </a:defRPr>
            </a:pPr>
            <a:endParaRPr lang="en-US"/>
          </a:p>
        </c:txPr>
        <c:crossAx val="381301120"/>
        <c:crossesAt val="-9999"/>
        <c:crossBetween val="midCat"/>
        <c:majorUnit val="2"/>
        <c:minorUnit val="2"/>
      </c:valAx>
      <c:valAx>
        <c:axId val="381301120"/>
        <c:scaling>
          <c:orientation val="minMax"/>
          <c:max val="80"/>
          <c:min val="0"/>
        </c:scaling>
        <c:delete val="0"/>
        <c:axPos val="l"/>
        <c:majorGridlines>
          <c:spPr>
            <a:ln w="3175">
              <a:solidFill>
                <a:schemeClr val="bg1">
                  <a:lumMod val="75000"/>
                </a:schemeClr>
              </a:solidFill>
              <a:prstDash val="sysDash"/>
            </a:ln>
          </c:spPr>
        </c:majorGridlines>
        <c:minorGridlines>
          <c:spPr>
            <a:ln>
              <a:noFill/>
            </a:ln>
          </c:spPr>
        </c:minorGridlines>
        <c:title>
          <c:tx>
            <c:rich>
              <a:bodyPr/>
              <a:lstStyle/>
              <a:p>
                <a:pPr>
                  <a:defRPr/>
                </a:pPr>
                <a:r>
                  <a:rPr lang="en-AU"/>
                  <a:t>Uptake %</a:t>
                </a:r>
              </a:p>
            </c:rich>
          </c:tx>
          <c:layout>
            <c:manualLayout>
              <c:xMode val="edge"/>
              <c:yMode val="edge"/>
              <c:x val="1.2315768221280102E-4"/>
              <c:y val="0.41050549236900941"/>
            </c:manualLayout>
          </c:layout>
          <c:overlay val="0"/>
        </c:title>
        <c:numFmt formatCode="#,##0;[Red]\-#,##0;;@" sourceLinked="0"/>
        <c:majorTickMark val="out"/>
        <c:minorTickMark val="none"/>
        <c:tickLblPos val="nextTo"/>
        <c:spPr>
          <a:ln w="3175">
            <a:noFill/>
            <a:prstDash val="solid"/>
          </a:ln>
        </c:spPr>
        <c:txPr>
          <a:bodyPr rot="0" vert="horz"/>
          <a:lstStyle/>
          <a:p>
            <a:pPr>
              <a:defRPr sz="900" b="0" i="0" u="none" strike="noStrike" baseline="0">
                <a:solidFill>
                  <a:srgbClr val="000000"/>
                </a:solidFill>
                <a:latin typeface="Arial"/>
                <a:ea typeface="Arial"/>
                <a:cs typeface="Arial"/>
              </a:defRPr>
            </a:pPr>
            <a:endParaRPr lang="en-US"/>
          </a:p>
        </c:txPr>
        <c:crossAx val="381295232"/>
        <c:crossesAt val="-9999"/>
        <c:crossBetween val="midCat"/>
        <c:majorUnit val="10"/>
        <c:minorUnit val="10"/>
      </c:valAx>
      <c:spPr>
        <a:solidFill>
          <a:srgbClr val="FFFFFF"/>
        </a:solidFill>
        <a:ln w="12700">
          <a:noFill/>
          <a:prstDash val="solid"/>
        </a:ln>
      </c:spPr>
    </c:plotArea>
    <c:legend>
      <c:legendPos val="t"/>
      <c:layout>
        <c:manualLayout>
          <c:xMode val="edge"/>
          <c:yMode val="edge"/>
          <c:x val="0.73983764048724676"/>
          <c:y val="0.65432098765432101"/>
          <c:w val="0.18110253045292415"/>
          <c:h val="0.21933095168659472"/>
        </c:manualLayout>
      </c:layout>
      <c:overlay val="0"/>
      <c:spPr>
        <a:solidFill>
          <a:schemeClr val="bg1"/>
        </a:solidFill>
      </c:spPr>
      <c:txPr>
        <a:bodyPr/>
        <a:lstStyle/>
        <a:p>
          <a:pPr>
            <a:defRPr sz="1000"/>
          </a:pPr>
          <a:endParaRPr lang="en-US"/>
        </a:p>
      </c:txPr>
    </c:legend>
    <c:plotVisOnly val="1"/>
    <c:dispBlanksAs val="gap"/>
    <c:showDLblsOverMax val="0"/>
  </c:chart>
  <c:spPr>
    <a:solidFill>
      <a:srgbClr val="FFFFFF"/>
    </a:solidFill>
    <a:ln w="3175">
      <a:noFill/>
      <a:prstDash val="solid"/>
    </a:ln>
  </c:spPr>
  <c:txPr>
    <a:bodyPr/>
    <a:lstStyle/>
    <a:p>
      <a:pPr>
        <a:defRPr sz="1025"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0">
                <a:latin typeface="+mn-lt"/>
              </a:defRPr>
            </a:pPr>
            <a:r>
              <a:rPr lang="en-US" sz="1400" b="0">
                <a:latin typeface="+mn-lt"/>
              </a:rPr>
              <a:t>Green Blueprint Projections</a:t>
            </a:r>
          </a:p>
        </c:rich>
      </c:tx>
      <c:layout>
        <c:manualLayout>
          <c:xMode val="edge"/>
          <c:yMode val="edge"/>
          <c:x val="0.34242512955111376"/>
          <c:y val="3.0864197530864196E-3"/>
        </c:manualLayout>
      </c:layout>
      <c:overlay val="0"/>
    </c:title>
    <c:autoTitleDeleted val="0"/>
    <c:plotArea>
      <c:layout>
        <c:manualLayout>
          <c:layoutTarget val="inner"/>
          <c:xMode val="edge"/>
          <c:yMode val="edge"/>
          <c:x val="9.2078538259640616E-2"/>
          <c:y val="8.465320307183824E-2"/>
          <c:w val="0.87371206003095769"/>
          <c:h val="0.85676655001458146"/>
        </c:manualLayout>
      </c:layout>
      <c:scatterChart>
        <c:scatterStyle val="lineMarker"/>
        <c:varyColors val="0"/>
        <c:ser>
          <c:idx val="0"/>
          <c:order val="0"/>
          <c:tx>
            <c:v>Revenue</c:v>
          </c:tx>
          <c:spPr>
            <a:ln w="25400">
              <a:solidFill>
                <a:schemeClr val="accent3">
                  <a:lumMod val="75000"/>
                </a:schemeClr>
              </a:solidFill>
              <a:prstDash val="solid"/>
            </a:ln>
          </c:spPr>
          <c:marker>
            <c:symbol val="none"/>
          </c:marker>
          <c:xVal>
            <c:numRef>
              <c:f>Earnings!$A$12:$A$25</c:f>
              <c:numCache>
                <c:formatCode>###0;[Red]\-###0</c:formatCode>
                <c:ptCount val="14"/>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numCache>
            </c:numRef>
          </c:xVal>
          <c:yVal>
            <c:numRef>
              <c:f>Earnings!$B$12:$B$25</c:f>
              <c:numCache>
                <c:formatCode>#,##0.0;[Red]\-#,##0.0</c:formatCode>
                <c:ptCount val="14"/>
                <c:pt idx="0">
                  <c:v>0</c:v>
                </c:pt>
                <c:pt idx="1">
                  <c:v>0</c:v>
                </c:pt>
                <c:pt idx="2">
                  <c:v>0</c:v>
                </c:pt>
                <c:pt idx="3">
                  <c:v>2.7640594999999992</c:v>
                </c:pt>
                <c:pt idx="4">
                  <c:v>14.3010035</c:v>
                </c:pt>
                <c:pt idx="5">
                  <c:v>38.511675079000007</c:v>
                </c:pt>
                <c:pt idx="6">
                  <c:v>64.532644558000015</c:v>
                </c:pt>
                <c:pt idx="7">
                  <c:v>83.633678945000014</c:v>
                </c:pt>
                <c:pt idx="8">
                  <c:v>99.28798287250001</c:v>
                </c:pt>
                <c:pt idx="9">
                  <c:v>112.204446225</c:v>
                </c:pt>
                <c:pt idx="10">
                  <c:v>122.981441105</c:v>
                </c:pt>
                <c:pt idx="11">
                  <c:v>133.47743979500001</c:v>
                </c:pt>
                <c:pt idx="12">
                  <c:v>144.22056535000002</c:v>
                </c:pt>
                <c:pt idx="13">
                  <c:v>154.91037652</c:v>
                </c:pt>
              </c:numCache>
            </c:numRef>
          </c:yVal>
          <c:smooth val="0"/>
          <c:extLst xmlns:c15="http://schemas.microsoft.com/office/drawing/2012/chart">
            <c:ext xmlns:c16="http://schemas.microsoft.com/office/drawing/2014/chart" uri="{C3380CC4-5D6E-409C-BE32-E72D297353CC}">
              <c16:uniqueId val="{00000000-74BC-44CE-9363-0515009EC386}"/>
            </c:ext>
          </c:extLst>
        </c:ser>
        <c:ser>
          <c:idx val="1"/>
          <c:order val="1"/>
          <c:tx>
            <c:v>Costs</c:v>
          </c:tx>
          <c:spPr>
            <a:ln>
              <a:solidFill>
                <a:schemeClr val="accent2">
                  <a:lumMod val="75000"/>
                </a:schemeClr>
              </a:solidFill>
            </a:ln>
          </c:spPr>
          <c:marker>
            <c:symbol val="none"/>
          </c:marker>
          <c:xVal>
            <c:numRef>
              <c:f>Earnings!$A$12:$A$25</c:f>
              <c:numCache>
                <c:formatCode>###0;[Red]\-###0</c:formatCode>
                <c:ptCount val="14"/>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numCache>
            </c:numRef>
          </c:xVal>
          <c:yVal>
            <c:numRef>
              <c:f>Earnings!$C$12:$C$25</c:f>
              <c:numCache>
                <c:formatCode>#,##0.0;[Red]\-#,##0.0</c:formatCode>
                <c:ptCount val="14"/>
                <c:pt idx="0">
                  <c:v>1.6736</c:v>
                </c:pt>
                <c:pt idx="1">
                  <c:v>2.0920000000000001</c:v>
                </c:pt>
                <c:pt idx="2">
                  <c:v>2.6150000000000002</c:v>
                </c:pt>
                <c:pt idx="3">
                  <c:v>3.2687500000000003</c:v>
                </c:pt>
                <c:pt idx="4">
                  <c:v>4.0859375</c:v>
                </c:pt>
                <c:pt idx="5">
                  <c:v>5.107421875</c:v>
                </c:pt>
                <c:pt idx="6">
                  <c:v>6.38427734375</c:v>
                </c:pt>
                <c:pt idx="7">
                  <c:v>7.9803466796875</c:v>
                </c:pt>
                <c:pt idx="8">
                  <c:v>9.975433349609375</c:v>
                </c:pt>
                <c:pt idx="9">
                  <c:v>12.469291687011719</c:v>
                </c:pt>
                <c:pt idx="10">
                  <c:v>15.586614608764648</c:v>
                </c:pt>
                <c:pt idx="11">
                  <c:v>19.483268260955811</c:v>
                </c:pt>
                <c:pt idx="12">
                  <c:v>24.354085326194763</c:v>
                </c:pt>
                <c:pt idx="13">
                  <c:v>30.442606657743454</c:v>
                </c:pt>
              </c:numCache>
            </c:numRef>
          </c:yVal>
          <c:smooth val="0"/>
          <c:extLst>
            <c:ext xmlns:c16="http://schemas.microsoft.com/office/drawing/2014/chart" uri="{C3380CC4-5D6E-409C-BE32-E72D297353CC}">
              <c16:uniqueId val="{00000001-74BC-44CE-9363-0515009EC386}"/>
            </c:ext>
          </c:extLst>
        </c:ser>
        <c:ser>
          <c:idx val="2"/>
          <c:order val="2"/>
          <c:tx>
            <c:v>Earnings</c:v>
          </c:tx>
          <c:spPr>
            <a:ln>
              <a:solidFill>
                <a:schemeClr val="accent5">
                  <a:lumMod val="75000"/>
                </a:schemeClr>
              </a:solidFill>
            </a:ln>
          </c:spPr>
          <c:marker>
            <c:symbol val="none"/>
          </c:marker>
          <c:xVal>
            <c:numRef>
              <c:f>Earnings!$A$12:$A$25</c:f>
              <c:numCache>
                <c:formatCode>###0;[Red]\-###0</c:formatCode>
                <c:ptCount val="14"/>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numCache>
            </c:numRef>
          </c:xVal>
          <c:yVal>
            <c:numRef>
              <c:f>Earnings!$E$12:$E$25</c:f>
              <c:numCache>
                <c:formatCode>#,##0.0;[Red]\-#,##0.0</c:formatCode>
                <c:ptCount val="14"/>
                <c:pt idx="0">
                  <c:v>-1.6736</c:v>
                </c:pt>
                <c:pt idx="1">
                  <c:v>-2.0920000000000001</c:v>
                </c:pt>
                <c:pt idx="2">
                  <c:v>-2.6150000000000002</c:v>
                </c:pt>
                <c:pt idx="3">
                  <c:v>-0.50469050000000104</c:v>
                </c:pt>
                <c:pt idx="4">
                  <c:v>7.6612995000000002</c:v>
                </c:pt>
                <c:pt idx="5">
                  <c:v>25.053189903000003</c:v>
                </c:pt>
                <c:pt idx="6">
                  <c:v>43.611275410687512</c:v>
                </c:pt>
                <c:pt idx="7">
                  <c:v>56.739999198984385</c:v>
                </c:pt>
                <c:pt idx="8">
                  <c:v>66.984412142167969</c:v>
                </c:pt>
                <c:pt idx="9">
                  <c:v>74.801365903491217</c:v>
                </c:pt>
                <c:pt idx="10">
                  <c:v>80.546119872176519</c:v>
                </c:pt>
                <c:pt idx="11">
                  <c:v>85.495628650533149</c:v>
                </c:pt>
                <c:pt idx="12">
                  <c:v>89.899860017853939</c:v>
                </c:pt>
                <c:pt idx="13">
                  <c:v>93.350827396692409</c:v>
                </c:pt>
              </c:numCache>
            </c:numRef>
          </c:yVal>
          <c:smooth val="0"/>
          <c:extLst>
            <c:ext xmlns:c16="http://schemas.microsoft.com/office/drawing/2014/chart" uri="{C3380CC4-5D6E-409C-BE32-E72D297353CC}">
              <c16:uniqueId val="{00000002-74BC-44CE-9363-0515009EC386}"/>
            </c:ext>
          </c:extLst>
        </c:ser>
        <c:dLbls>
          <c:showLegendKey val="0"/>
          <c:showVal val="0"/>
          <c:showCatName val="0"/>
          <c:showSerName val="0"/>
          <c:showPercent val="0"/>
          <c:showBubbleSize val="0"/>
        </c:dLbls>
        <c:axId val="381295232"/>
        <c:axId val="381301120"/>
        <c:extLst/>
      </c:scatterChart>
      <c:valAx>
        <c:axId val="381295232"/>
        <c:scaling>
          <c:orientation val="minMax"/>
          <c:max val="2036"/>
          <c:min val="2022"/>
        </c:scaling>
        <c:delete val="0"/>
        <c:axPos val="b"/>
        <c:majorGridlines>
          <c:spPr>
            <a:ln w="3175">
              <a:solidFill>
                <a:schemeClr val="bg1">
                  <a:lumMod val="75000"/>
                </a:schemeClr>
              </a:solidFill>
              <a:prstDash val="sysDash"/>
            </a:ln>
          </c:spPr>
        </c:majorGridlines>
        <c:minorGridlines/>
        <c:numFmt formatCode="#0;[Red]\-#0" sourceLinked="0"/>
        <c:majorTickMark val="out"/>
        <c:minorTickMark val="in"/>
        <c:tickLblPos val="nextTo"/>
        <c:spPr>
          <a:ln w="3175">
            <a:noFill/>
            <a:prstDash val="solid"/>
          </a:ln>
        </c:spPr>
        <c:txPr>
          <a:bodyPr rot="0" vert="horz"/>
          <a:lstStyle/>
          <a:p>
            <a:pPr>
              <a:defRPr sz="900" b="0" i="0" u="none" strike="noStrike" baseline="0">
                <a:solidFill>
                  <a:srgbClr val="000000"/>
                </a:solidFill>
                <a:latin typeface="Arial"/>
                <a:ea typeface="Arial"/>
                <a:cs typeface="Arial"/>
              </a:defRPr>
            </a:pPr>
            <a:endParaRPr lang="en-US"/>
          </a:p>
        </c:txPr>
        <c:crossAx val="381301120"/>
        <c:crossesAt val="-9999"/>
        <c:crossBetween val="midCat"/>
        <c:majorUnit val="2"/>
        <c:minorUnit val="2"/>
      </c:valAx>
      <c:valAx>
        <c:axId val="381301120"/>
        <c:scaling>
          <c:orientation val="minMax"/>
          <c:min val="0"/>
        </c:scaling>
        <c:delete val="0"/>
        <c:axPos val="l"/>
        <c:majorGridlines>
          <c:spPr>
            <a:ln w="3175">
              <a:solidFill>
                <a:schemeClr val="bg1">
                  <a:lumMod val="75000"/>
                </a:schemeClr>
              </a:solidFill>
              <a:prstDash val="sysDash"/>
            </a:ln>
          </c:spPr>
        </c:majorGridlines>
        <c:minorGridlines>
          <c:spPr>
            <a:ln>
              <a:noFill/>
            </a:ln>
          </c:spPr>
        </c:minorGridlines>
        <c:title>
          <c:tx>
            <c:rich>
              <a:bodyPr/>
              <a:lstStyle/>
              <a:p>
                <a:pPr>
                  <a:defRPr/>
                </a:pPr>
                <a:r>
                  <a:rPr lang="en-AU"/>
                  <a:t>AUD</a:t>
                </a:r>
                <a:r>
                  <a:rPr lang="en-AU" baseline="0"/>
                  <a:t> million</a:t>
                </a:r>
                <a:endParaRPr lang="en-AU"/>
              </a:p>
            </c:rich>
          </c:tx>
          <c:layout>
            <c:manualLayout>
              <c:xMode val="edge"/>
              <c:yMode val="edge"/>
              <c:x val="2.2491419341813031E-3"/>
              <c:y val="0.41500413142801601"/>
            </c:manualLayout>
          </c:layout>
          <c:overlay val="0"/>
        </c:title>
        <c:numFmt formatCode="#,##0_);[Red]\(#,##0\)" sourceLinked="0"/>
        <c:majorTickMark val="out"/>
        <c:minorTickMark val="none"/>
        <c:tickLblPos val="nextTo"/>
        <c:spPr>
          <a:ln w="3175">
            <a:noFill/>
            <a:prstDash val="solid"/>
          </a:ln>
        </c:spPr>
        <c:txPr>
          <a:bodyPr rot="0" vert="horz"/>
          <a:lstStyle/>
          <a:p>
            <a:pPr>
              <a:defRPr sz="900" b="0" i="0" u="none" strike="noStrike" baseline="0">
                <a:solidFill>
                  <a:srgbClr val="000000"/>
                </a:solidFill>
                <a:latin typeface="Arial"/>
                <a:ea typeface="Arial"/>
                <a:cs typeface="Arial"/>
              </a:defRPr>
            </a:pPr>
            <a:endParaRPr lang="en-US"/>
          </a:p>
        </c:txPr>
        <c:crossAx val="381295232"/>
        <c:crossesAt val="-9999"/>
        <c:crossBetween val="midCat"/>
        <c:majorUnit val="10"/>
        <c:minorUnit val="10"/>
      </c:valAx>
      <c:spPr>
        <a:solidFill>
          <a:srgbClr val="FFFFFF"/>
        </a:solidFill>
        <a:ln w="12700">
          <a:noFill/>
          <a:prstDash val="solid"/>
        </a:ln>
      </c:spPr>
    </c:plotArea>
    <c:legend>
      <c:legendPos val="t"/>
      <c:layout>
        <c:manualLayout>
          <c:xMode val="edge"/>
          <c:yMode val="edge"/>
          <c:x val="0.12017952082912713"/>
          <c:y val="9.5679012345679007E-2"/>
          <c:w val="0.20726495726495728"/>
          <c:h val="0.1668618158841256"/>
        </c:manualLayout>
      </c:layout>
      <c:overlay val="0"/>
      <c:spPr>
        <a:solidFill>
          <a:schemeClr val="bg1"/>
        </a:solidFill>
      </c:spPr>
      <c:txPr>
        <a:bodyPr/>
        <a:lstStyle/>
        <a:p>
          <a:pPr>
            <a:defRPr sz="1000"/>
          </a:pPr>
          <a:endParaRPr lang="en-US"/>
        </a:p>
      </c:txPr>
    </c:legend>
    <c:plotVisOnly val="1"/>
    <c:dispBlanksAs val="gap"/>
    <c:showDLblsOverMax val="0"/>
  </c:chart>
  <c:spPr>
    <a:solidFill>
      <a:srgbClr val="FFFFFF"/>
    </a:solidFill>
    <a:ln w="3175">
      <a:noFill/>
      <a:prstDash val="solid"/>
    </a:ln>
  </c:spPr>
  <c:txPr>
    <a:bodyPr/>
    <a:lstStyle/>
    <a:p>
      <a:pPr>
        <a:defRPr sz="1025"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userShapes r:id="rId1"/>
</c:chartSpace>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7.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47625</xdr:rowOff>
    </xdr:from>
    <xdr:to>
      <xdr:col>7</xdr:col>
      <xdr:colOff>676275</xdr:colOff>
      <xdr:row>10</xdr:row>
      <xdr:rowOff>133350</xdr:rowOff>
    </xdr:to>
    <xdr:sp macro="" textlink="">
      <xdr:nvSpPr>
        <xdr:cNvPr id="9" name="Text ClimateModels">
          <a:extLst>
            <a:ext uri="{FF2B5EF4-FFF2-40B4-BE49-F238E27FC236}">
              <a16:creationId xmlns:a16="http://schemas.microsoft.com/office/drawing/2014/main" id="{680E2249-2420-4CB0-B2C8-90B2FB88E7B0}"/>
            </a:ext>
          </a:extLst>
        </xdr:cNvPr>
        <xdr:cNvSpPr txBox="1">
          <a:spLocks noChangeArrowheads="1"/>
        </xdr:cNvSpPr>
      </xdr:nvSpPr>
      <xdr:spPr bwMode="auto">
        <a:xfrm>
          <a:off x="0" y="381000"/>
          <a:ext cx="6200775" cy="1990725"/>
        </a:xfrm>
        <a:prstGeom prst="rect">
          <a:avLst/>
        </a:prstGeom>
        <a:solidFill>
          <a:srgbClr val="CCFFCC"/>
        </a:solidFill>
        <a:ln w="9525">
          <a:solidFill>
            <a:srgbClr val="000000"/>
          </a:solidFill>
          <a:miter lim="800000"/>
          <a:headEnd/>
          <a:tailEnd/>
        </a:ln>
      </xdr:spPr>
      <xdr:txBody>
        <a:bodyPr vertOverflow="clip" wrap="square" lIns="36576" tIns="27432" rIns="0" bIns="0" anchor="t"/>
        <a:lstStyle/>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This file is for the calculations behind the business plan for Green Blueprint Pty Ltd (GB).</a:t>
          </a:r>
        </a:p>
        <a:p>
          <a:pPr algn="l" rtl="0">
            <a:defRPr sz="1000"/>
          </a:pPr>
          <a:endParaRPr lang="en-US" sz="1100" b="0" i="0" u="none" strike="noStrike" baseline="0">
            <a:solidFill>
              <a:srgbClr val="000000"/>
            </a:solidFill>
            <a:latin typeface="Calibri" panose="020F0502020204030204" pitchFamily="34" charset="0"/>
            <a:cs typeface="Calibri" panose="020F0502020204030204" pitchFamily="34" charset="0"/>
          </a:endParaRP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www.greenblueprint.com.au</a:t>
          </a:r>
        </a:p>
        <a:p>
          <a:pPr rtl="0"/>
          <a:r>
            <a:rPr lang="en-US" sz="1100" b="0" i="0" baseline="0">
              <a:effectLst/>
              <a:latin typeface="+mn-lt"/>
              <a:ea typeface="+mn-ea"/>
              <a:cs typeface="+mn-cs"/>
            </a:rPr>
            <a:t>Bill Crabtree 0417 223 395, bill.crabtree@wn.com.au</a:t>
          </a:r>
        </a:p>
        <a:p>
          <a:pPr rtl="0"/>
          <a:r>
            <a:rPr lang="en-AU">
              <a:effectLst/>
            </a:rPr>
            <a:t>Jon Clements, Jon.Clements@murdoch.edu.au</a:t>
          </a:r>
        </a:p>
        <a:p>
          <a:pPr rtl="0"/>
          <a:r>
            <a:rPr lang="en-AU">
              <a:effectLst/>
            </a:rPr>
            <a:t>Michael Jones, M.Jones@murdoch.edu.au</a:t>
          </a:r>
        </a:p>
        <a:p>
          <a:pPr rtl="0"/>
          <a:r>
            <a:rPr lang="en-AU">
              <a:effectLst/>
            </a:rPr>
            <a:t>John Fosu-Nyarko, J.Fosu-Nyarko@murdoch.edu.au</a:t>
          </a:r>
        </a:p>
        <a:p>
          <a:pPr rtl="0"/>
          <a:r>
            <a:rPr lang="en-US" sz="1100" b="0" i="0" baseline="0">
              <a:effectLst/>
              <a:latin typeface="+mn-lt"/>
              <a:ea typeface="+mn-ea"/>
              <a:cs typeface="+mn-cs"/>
            </a:rPr>
            <a:t>David Evans 08 9249 3909, david.evans@sciencespeak.com</a:t>
          </a:r>
          <a:endParaRPr lang="en-US" sz="1100" b="0" i="0" u="none" strike="noStrike" baseline="0">
            <a:solidFill>
              <a:srgbClr val="000000"/>
            </a:solidFill>
            <a:latin typeface="Calibri" panose="020F0502020204030204" pitchFamily="34" charset="0"/>
            <a:cs typeface="Calibri" panose="020F0502020204030204" pitchFamily="34" charset="0"/>
          </a:endParaRPr>
        </a:p>
        <a:p>
          <a:pPr algn="l" rtl="0">
            <a:defRPr sz="1000"/>
          </a:pPr>
          <a:endParaRPr lang="en-US" sz="1100" b="0" i="0" u="none" strike="noStrike" baseline="0">
            <a:solidFill>
              <a:srgbClr val="000000"/>
            </a:solidFill>
            <a:latin typeface="Calibri" panose="020F0502020204030204" pitchFamily="34" charset="0"/>
            <a:cs typeface="Calibri" panose="020F0502020204030204" pitchFamily="34" charset="0"/>
          </a:endParaRP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15 Feb 2023</a:t>
          </a:r>
        </a:p>
        <a:p>
          <a:pPr algn="l" rtl="0">
            <a:defRPr sz="1000"/>
          </a:pPr>
          <a:endParaRPr lang="en-US" sz="1100" b="0" i="0" u="none" strike="noStrike" baseline="0">
            <a:solidFill>
              <a:srgbClr val="000000"/>
            </a:solidFill>
            <a:latin typeface="Calibri" panose="020F0502020204030204" pitchFamily="34" charset="0"/>
            <a:cs typeface="Calibri" panose="020F0502020204030204" pitchFamily="34" charset="0"/>
          </a:endParaRPr>
        </a:p>
      </xdr:txBody>
    </xdr:sp>
    <xdr:clientData/>
  </xdr:twoCellAnchor>
  <xdr:twoCellAnchor>
    <xdr:from>
      <xdr:col>0</xdr:col>
      <xdr:colOff>9525</xdr:colOff>
      <xdr:row>13</xdr:row>
      <xdr:rowOff>38099</xdr:rowOff>
    </xdr:from>
    <xdr:to>
      <xdr:col>7</xdr:col>
      <xdr:colOff>647700</xdr:colOff>
      <xdr:row>44</xdr:row>
      <xdr:rowOff>171449</xdr:rowOff>
    </xdr:to>
    <xdr:sp macro="" textlink="">
      <xdr:nvSpPr>
        <xdr:cNvPr id="2" name="Text ClimateModels">
          <a:extLst>
            <a:ext uri="{FF2B5EF4-FFF2-40B4-BE49-F238E27FC236}">
              <a16:creationId xmlns:a16="http://schemas.microsoft.com/office/drawing/2014/main" id="{E67B5579-F6A5-4285-B184-6414F45D1644}"/>
            </a:ext>
          </a:extLst>
        </xdr:cNvPr>
        <xdr:cNvSpPr txBox="1">
          <a:spLocks noChangeArrowheads="1"/>
        </xdr:cNvSpPr>
      </xdr:nvSpPr>
      <xdr:spPr bwMode="auto">
        <a:xfrm>
          <a:off x="9525" y="2847974"/>
          <a:ext cx="6162675" cy="6048375"/>
        </a:xfrm>
        <a:prstGeom prst="rect">
          <a:avLst/>
        </a:prstGeom>
        <a:solidFill>
          <a:srgbClr val="E1FFFF"/>
        </a:solidFill>
        <a:ln w="9525">
          <a:solidFill>
            <a:srgbClr val="000000"/>
          </a:solidFill>
          <a:miter lim="800000"/>
          <a:headEnd/>
          <a:tailEnd/>
        </a:ln>
      </xdr:spPr>
      <xdr:txBody>
        <a:bodyPr vertOverflow="clip" wrap="square" lIns="36576" tIns="27432" rIns="0" bIns="0" anchor="t"/>
        <a:lstStyle/>
        <a:p>
          <a:pPr algn="l" rtl="0">
            <a:defRPr sz="1000"/>
          </a:pPr>
          <a:r>
            <a:rPr lang="en-US" sz="1400" b="1" i="0" u="none" strike="noStrike" baseline="0">
              <a:solidFill>
                <a:srgbClr val="000000"/>
              </a:solidFill>
              <a:latin typeface="+mn-lt"/>
              <a:cs typeface="Arial"/>
            </a:rPr>
            <a:t>Excel Notes</a:t>
          </a:r>
        </a:p>
        <a:p>
          <a:pPr algn="l" rtl="0">
            <a:defRPr sz="1000"/>
          </a:pPr>
          <a:endParaRPr lang="en-US" sz="1200" b="0" i="0" u="none" strike="noStrike" baseline="0">
            <a:solidFill>
              <a:srgbClr val="000000"/>
            </a:solidFill>
            <a:latin typeface="+mn-lt"/>
            <a:cs typeface="Arial"/>
          </a:endParaRPr>
        </a:p>
        <a:p>
          <a:pPr algn="l" rtl="0">
            <a:defRPr sz="1000"/>
          </a:pPr>
          <a:r>
            <a:rPr lang="en-US" sz="1200" b="1" i="0" u="none" strike="noStrike" baseline="0">
              <a:solidFill>
                <a:srgbClr val="000000"/>
              </a:solidFill>
              <a:latin typeface="+mn-lt"/>
              <a:cs typeface="Arial"/>
            </a:rPr>
            <a:t>Enter data in the white cells only</a:t>
          </a:r>
          <a:r>
            <a:rPr lang="en-US" sz="1200" b="0" i="0" u="none" strike="noStrike" baseline="0">
              <a:solidFill>
                <a:srgbClr val="000000"/>
              </a:solidFill>
              <a:latin typeface="+mn-lt"/>
              <a:cs typeface="Arial"/>
            </a:rPr>
            <a:t>. This simple rule makes the sheet appear less complicated. The default sea of white cells is quite initimidating -- what can I change? Is that cell calculated by a formula or do I enter a number? Etc.</a:t>
          </a:r>
        </a:p>
        <a:p>
          <a:pPr algn="l" rtl="0">
            <a:defRPr sz="1000"/>
          </a:pPr>
          <a:endParaRPr lang="en-US" sz="1200" b="0" i="0" u="none" strike="noStrike" baseline="0">
            <a:solidFill>
              <a:srgbClr val="000000"/>
            </a:solidFill>
            <a:latin typeface="+mn-lt"/>
            <a:cs typeface="Arial"/>
          </a:endParaRPr>
        </a:p>
        <a:p>
          <a:pPr algn="l" rtl="0">
            <a:defRPr sz="1000"/>
          </a:pPr>
          <a:r>
            <a:rPr lang="en-US" sz="1200" b="0" i="0" u="none" strike="noStrike" baseline="0">
              <a:solidFill>
                <a:srgbClr val="000000"/>
              </a:solidFill>
              <a:latin typeface="+mn-lt"/>
              <a:cs typeface="Arial"/>
            </a:rPr>
            <a:t>The </a:t>
          </a:r>
          <a:r>
            <a:rPr lang="en-US" sz="1200" b="1" i="0" u="none" strike="noStrike" baseline="0">
              <a:solidFill>
                <a:srgbClr val="000000"/>
              </a:solidFill>
              <a:latin typeface="+mn-lt"/>
              <a:cs typeface="Arial"/>
            </a:rPr>
            <a:t>red triangles </a:t>
          </a:r>
          <a:r>
            <a:rPr lang="en-US" sz="1200" b="0" i="0" u="none" strike="noStrike" baseline="0">
              <a:solidFill>
                <a:srgbClr val="000000"/>
              </a:solidFill>
              <a:latin typeface="+mn-lt"/>
              <a:cs typeface="Arial"/>
            </a:rPr>
            <a:t>in the upper right of some cells contain comments. Hover the mouse over the cell and the comment opens. To copy or edit a comment, right click on the cell and choose </a:t>
          </a:r>
          <a:r>
            <a:rPr lang="en-US" sz="1200" b="0" i="1" u="none" strike="noStrike" baseline="0">
              <a:solidFill>
                <a:srgbClr val="000000"/>
              </a:solidFill>
              <a:latin typeface="+mn-lt"/>
              <a:cs typeface="Arial"/>
            </a:rPr>
            <a:t>Edit Comment</a:t>
          </a:r>
          <a:r>
            <a:rPr lang="en-US" sz="1200" b="0" i="0" u="none" strike="noStrike" baseline="0">
              <a:solidFill>
                <a:srgbClr val="000000"/>
              </a:solidFill>
              <a:latin typeface="+mn-lt"/>
              <a:cs typeface="Arial"/>
            </a:rPr>
            <a:t>.</a:t>
          </a:r>
        </a:p>
        <a:p>
          <a:pPr algn="l" rtl="0">
            <a:defRPr sz="1000"/>
          </a:pPr>
          <a:endParaRPr lang="en-US" sz="1200" b="0" i="0" u="none" strike="noStrike" baseline="0">
            <a:solidFill>
              <a:srgbClr val="000000"/>
            </a:solidFill>
            <a:latin typeface="+mn-lt"/>
            <a:cs typeface="Arial"/>
          </a:endParaRPr>
        </a:p>
        <a:p>
          <a:pPr algn="l" rtl="0">
            <a:defRPr sz="1000"/>
          </a:pPr>
          <a:r>
            <a:rPr lang="en-US" sz="1200" b="0" i="0" u="none" strike="noStrike" baseline="0">
              <a:solidFill>
                <a:srgbClr val="000000"/>
              </a:solidFill>
              <a:latin typeface="+mn-lt"/>
              <a:cs typeface="Arial"/>
            </a:rPr>
            <a:t>On some sheets you may have to </a:t>
          </a:r>
          <a:r>
            <a:rPr lang="en-US" sz="1200" b="1" i="0" u="none" strike="noStrike" baseline="0">
              <a:solidFill>
                <a:srgbClr val="000000"/>
              </a:solidFill>
              <a:latin typeface="+mn-lt"/>
              <a:cs typeface="Arial"/>
            </a:rPr>
            <a:t>scroll down </a:t>
          </a:r>
          <a:r>
            <a:rPr lang="en-US" sz="1200" b="0" i="0" u="none" strike="noStrike" baseline="0">
              <a:solidFill>
                <a:srgbClr val="000000"/>
              </a:solidFill>
              <a:latin typeface="+mn-lt"/>
              <a:cs typeface="Arial"/>
            </a:rPr>
            <a:t>or to the right to see all the content. </a:t>
          </a:r>
        </a:p>
        <a:p>
          <a:pPr algn="l" rtl="0">
            <a:defRPr sz="1000"/>
          </a:pPr>
          <a:endParaRPr lang="en-US" sz="1200" b="0" i="0" u="none" strike="noStrike" baseline="0">
            <a:solidFill>
              <a:srgbClr val="000000"/>
            </a:solidFill>
            <a:latin typeface="+mn-lt"/>
            <a:cs typeface="Arial"/>
          </a:endParaRPr>
        </a:p>
        <a:p>
          <a:pPr algn="l" rtl="0">
            <a:defRPr sz="1000"/>
          </a:pPr>
          <a:r>
            <a:rPr lang="en-US" sz="1200" b="0" i="0" u="none" strike="noStrike" baseline="0">
              <a:solidFill>
                <a:srgbClr val="000000"/>
              </a:solidFill>
              <a:latin typeface="+mn-lt"/>
              <a:cs typeface="Arial"/>
            </a:rPr>
            <a:t>Use the </a:t>
          </a:r>
          <a:r>
            <a:rPr lang="en-US" sz="1200" b="1" i="0" u="none" strike="noStrike" baseline="0">
              <a:solidFill>
                <a:srgbClr val="000000"/>
              </a:solidFill>
              <a:latin typeface="+mn-lt"/>
              <a:cs typeface="Arial"/>
            </a:rPr>
            <a:t>sheet zoom </a:t>
          </a:r>
          <a:r>
            <a:rPr lang="en-US" sz="1200" b="0" i="0" u="none" strike="noStrike" baseline="0">
              <a:solidFill>
                <a:srgbClr val="000000"/>
              </a:solidFill>
              <a:latin typeface="+mn-lt"/>
              <a:cs typeface="Arial"/>
            </a:rPr>
            <a:t>in the lower right of the window to magnify a sheet, if necessary.</a:t>
          </a:r>
        </a:p>
        <a:p>
          <a:pPr algn="l" rtl="0">
            <a:defRPr sz="1000"/>
          </a:pPr>
          <a:endParaRPr lang="en-US" sz="1200" b="0" i="0" u="none" strike="noStrike" baseline="0">
            <a:solidFill>
              <a:srgbClr val="000000"/>
            </a:solidFill>
            <a:latin typeface="+mn-lt"/>
            <a:cs typeface="Arial"/>
          </a:endParaRPr>
        </a:p>
        <a:p>
          <a:pPr algn="l" rtl="0">
            <a:defRPr sz="1000"/>
          </a:pPr>
          <a:r>
            <a:rPr lang="en-US" sz="1200" b="0" i="0" u="none" strike="noStrike" baseline="0">
              <a:solidFill>
                <a:srgbClr val="000000"/>
              </a:solidFill>
              <a:latin typeface="+mn-lt"/>
              <a:cs typeface="Arial"/>
            </a:rPr>
            <a:t>It is sometimes helpful to </a:t>
          </a:r>
          <a:r>
            <a:rPr lang="en-US" sz="1200" b="1" i="0" u="none" strike="noStrike" baseline="0">
              <a:solidFill>
                <a:srgbClr val="000000"/>
              </a:solidFill>
              <a:latin typeface="+mn-lt"/>
              <a:cs typeface="Arial"/>
            </a:rPr>
            <a:t>open a second window </a:t>
          </a:r>
          <a:r>
            <a:rPr lang="en-US" sz="1200" b="0" i="0" u="none" strike="noStrike" baseline="0">
              <a:solidFill>
                <a:srgbClr val="000000"/>
              </a:solidFill>
              <a:latin typeface="+mn-lt"/>
              <a:cs typeface="Arial"/>
            </a:rPr>
            <a:t>to view this file: </a:t>
          </a:r>
          <a:r>
            <a:rPr lang="en-US" sz="1200" b="0" i="1" u="none" strike="noStrike" baseline="0">
              <a:solidFill>
                <a:srgbClr val="000000"/>
              </a:solidFill>
              <a:latin typeface="+mn-lt"/>
              <a:cs typeface="Arial"/>
            </a:rPr>
            <a:t>View -&gt; Window -&gt; New Window</a:t>
          </a:r>
          <a:r>
            <a:rPr lang="en-US" sz="1200" b="0" i="0" u="none" strike="noStrike" baseline="0">
              <a:solidFill>
                <a:srgbClr val="000000"/>
              </a:solidFill>
              <a:latin typeface="+mn-lt"/>
              <a:cs typeface="Arial"/>
            </a:rPr>
            <a:t>.</a:t>
          </a:r>
        </a:p>
        <a:p>
          <a:pPr algn="l" rtl="0">
            <a:defRPr sz="1000"/>
          </a:pPr>
          <a:endParaRPr lang="en-US" sz="1200" b="0" i="0" u="none" strike="noStrike" baseline="0">
            <a:solidFill>
              <a:srgbClr val="000000"/>
            </a:solidFill>
            <a:latin typeface="+mn-lt"/>
            <a:cs typeface="Arial"/>
          </a:endParaRPr>
        </a:p>
        <a:p>
          <a:pPr algn="l" rtl="0">
            <a:defRPr sz="1000"/>
          </a:pPr>
          <a:r>
            <a:rPr lang="en-US" sz="1200" b="0" i="0" u="none" strike="noStrike" baseline="0">
              <a:solidFill>
                <a:srgbClr val="000000"/>
              </a:solidFill>
              <a:latin typeface="+mn-lt"/>
              <a:cs typeface="Arial"/>
            </a:rPr>
            <a:t>To quickly </a:t>
          </a:r>
          <a:r>
            <a:rPr lang="en-US" sz="1200" b="1" i="0" u="none" strike="noStrike" baseline="0">
              <a:solidFill>
                <a:srgbClr val="000000"/>
              </a:solidFill>
              <a:latin typeface="+mn-lt"/>
              <a:cs typeface="Arial"/>
            </a:rPr>
            <a:t>find the inputs to a cell</a:t>
          </a:r>
          <a:r>
            <a:rPr lang="en-US" sz="1200" b="0" i="0" u="none" strike="noStrike" baseline="0">
              <a:solidFill>
                <a:srgbClr val="000000"/>
              </a:solidFill>
              <a:latin typeface="+mn-lt"/>
              <a:cs typeface="Arial"/>
            </a:rPr>
            <a:t> (i.e. what contributes to the value of a cell), or what cells depend on the value of a cell, use </a:t>
          </a:r>
          <a:r>
            <a:rPr lang="en-US" sz="1200" b="0" i="1" u="none" strike="noStrike" baseline="0">
              <a:solidFill>
                <a:srgbClr val="000000"/>
              </a:solidFill>
              <a:latin typeface="+mn-lt"/>
              <a:cs typeface="Arial"/>
            </a:rPr>
            <a:t>Formulas -&gt; Formula Auditing -&gt; Trace Precedents, Trace Dependents</a:t>
          </a:r>
          <a:r>
            <a:rPr lang="en-US" sz="1200" b="0" i="0" u="none" strike="noStrike" baseline="0">
              <a:solidFill>
                <a:srgbClr val="000000"/>
              </a:solidFill>
              <a:latin typeface="+mn-lt"/>
              <a:cs typeface="Arial"/>
            </a:rPr>
            <a:t>, and </a:t>
          </a:r>
          <a:r>
            <a:rPr lang="en-US" sz="1200" b="0" i="1" u="none" strike="noStrike" baseline="0">
              <a:solidFill>
                <a:srgbClr val="000000"/>
              </a:solidFill>
              <a:latin typeface="+mn-lt"/>
              <a:cs typeface="Arial"/>
            </a:rPr>
            <a:t>Remove Arrows</a:t>
          </a:r>
          <a:r>
            <a:rPr lang="en-US" sz="1200" b="0" i="0" u="none" strike="noStrike" baseline="0">
              <a:solidFill>
                <a:srgbClr val="000000"/>
              </a:solidFill>
              <a:latin typeface="+mn-lt"/>
              <a:cs typeface="Arial"/>
            </a:rPr>
            <a:t>.</a:t>
          </a:r>
        </a:p>
        <a:p>
          <a:pPr algn="l" rtl="0">
            <a:defRPr sz="1000"/>
          </a:pPr>
          <a:endParaRPr lang="en-US" sz="1200" b="0" i="0" u="none" strike="noStrike" baseline="0">
            <a:solidFill>
              <a:srgbClr val="000000"/>
            </a:solidFill>
            <a:latin typeface="+mn-lt"/>
            <a:cs typeface="Arial"/>
          </a:endParaRPr>
        </a:p>
        <a:p>
          <a:pPr algn="l" rtl="0">
            <a:defRPr sz="1000"/>
          </a:pPr>
          <a:r>
            <a:rPr lang="en-US" sz="1200" b="0" i="0" u="none" strike="noStrike" baseline="0">
              <a:solidFill>
                <a:srgbClr val="000000"/>
              </a:solidFill>
              <a:latin typeface="+mn-lt"/>
              <a:cs typeface="Arial"/>
            </a:rPr>
            <a:t>Be sure the formula bar is visible: </a:t>
          </a:r>
          <a:r>
            <a:rPr lang="en-US" sz="1200" b="0" i="1" u="none" strike="noStrike" baseline="0">
              <a:solidFill>
                <a:srgbClr val="000000"/>
              </a:solidFill>
              <a:latin typeface="+mn-lt"/>
              <a:cs typeface="Arial"/>
            </a:rPr>
            <a:t>View -&gt; Show -&gt; Formula Bar</a:t>
          </a:r>
          <a:r>
            <a:rPr lang="en-US" sz="1200" b="0" i="0" u="none" strike="noStrike" baseline="0">
              <a:solidFill>
                <a:srgbClr val="000000"/>
              </a:solidFill>
              <a:latin typeface="+mn-lt"/>
              <a:cs typeface="Arial"/>
            </a:rPr>
            <a:t>.</a:t>
          </a:r>
        </a:p>
        <a:p>
          <a:pPr algn="l" rtl="0">
            <a:defRPr sz="1000"/>
          </a:pPr>
          <a:endParaRPr lang="en-US" sz="1200" b="0" i="0" u="none" strike="noStrike" baseline="0">
            <a:solidFill>
              <a:srgbClr val="000000"/>
            </a:solidFill>
            <a:latin typeface="+mn-lt"/>
            <a:cs typeface="Arial"/>
          </a:endParaRPr>
        </a:p>
        <a:p>
          <a:pPr algn="l" rtl="0">
            <a:defRPr sz="1000"/>
          </a:pPr>
          <a:r>
            <a:rPr lang="en-US" sz="1200" b="0" i="0" u="none" strike="noStrike" baseline="0">
              <a:solidFill>
                <a:srgbClr val="000000"/>
              </a:solidFill>
              <a:latin typeface="+mn-lt"/>
              <a:cs typeface="Arial"/>
            </a:rPr>
            <a:t>This spreadsheet uses </a:t>
          </a:r>
          <a:r>
            <a:rPr lang="en-US" sz="1200" b="1" i="0" u="none" strike="noStrike" baseline="0">
              <a:solidFill>
                <a:srgbClr val="000000"/>
              </a:solidFill>
              <a:latin typeface="+mn-lt"/>
              <a:cs typeface="Arial"/>
            </a:rPr>
            <a:t>styles</a:t>
          </a:r>
          <a:r>
            <a:rPr lang="en-US" sz="1200" b="0" i="0" u="none" strike="noStrike" baseline="0">
              <a:solidFill>
                <a:srgbClr val="000000"/>
              </a:solidFill>
              <a:latin typeface="+mn-lt"/>
              <a:cs typeface="Arial"/>
            </a:rPr>
            <a:t>. Unlike the default </a:t>
          </a:r>
          <a:r>
            <a:rPr lang="en-US" sz="1200" b="0" i="1" u="none" strike="noStrike" baseline="0">
              <a:solidFill>
                <a:srgbClr val="000000"/>
              </a:solidFill>
              <a:latin typeface="+mn-lt"/>
              <a:cs typeface="Arial"/>
            </a:rPr>
            <a:t>Normal</a:t>
          </a:r>
          <a:r>
            <a:rPr lang="en-US" sz="1200" b="0" i="0" u="none" strike="noStrike" baseline="0">
              <a:solidFill>
                <a:srgbClr val="000000"/>
              </a:solidFill>
              <a:latin typeface="+mn-lt"/>
              <a:cs typeface="Arial"/>
            </a:rPr>
            <a:t> style, which sets everything about the formating of a cell, our styles only set the number, alignment and font -- the fill (background color), borders, and protection are not specified by our styles. Therefore, use our styles to set the general appearance of a cell, then set the fill and border manually. (Unfortunately, if you later change the style definition, you have to re-apply the style to a cell if anything about the format of the cell was changed since application of the style, such as fill. But since we probably won't change the style defintions, this probably won't be relevant.) </a:t>
          </a:r>
          <a:endParaRPr lang="en-US" sz="1200" b="0" i="1" u="none" strike="noStrike" baseline="0">
            <a:solidFill>
              <a:srgbClr val="000000"/>
            </a:solidFill>
            <a:latin typeface="+mn-lt"/>
            <a:cs typeface="Arial"/>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476250</xdr:colOff>
      <xdr:row>4</xdr:row>
      <xdr:rowOff>0</xdr:rowOff>
    </xdr:from>
    <xdr:to>
      <xdr:col>18</xdr:col>
      <xdr:colOff>190500</xdr:colOff>
      <xdr:row>24</xdr:row>
      <xdr:rowOff>171450</xdr:rowOff>
    </xdr:to>
    <xdr:graphicFrame macro="">
      <xdr:nvGraphicFramePr>
        <xdr:cNvPr id="3" name="Chart 2">
          <a:extLst>
            <a:ext uri="{FF2B5EF4-FFF2-40B4-BE49-F238E27FC236}">
              <a16:creationId xmlns:a16="http://schemas.microsoft.com/office/drawing/2014/main" id="{A0B3A897-EEA4-4E3B-8C62-512283B35DF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9</xdr:col>
      <xdr:colOff>390525</xdr:colOff>
      <xdr:row>85</xdr:row>
      <xdr:rowOff>28575</xdr:rowOff>
    </xdr:from>
    <xdr:to>
      <xdr:col>19</xdr:col>
      <xdr:colOff>238125</xdr:colOff>
      <xdr:row>106</xdr:row>
      <xdr:rowOff>142875</xdr:rowOff>
    </xdr:to>
    <xdr:graphicFrame macro="">
      <xdr:nvGraphicFramePr>
        <xdr:cNvPr id="4" name="Chart 3">
          <a:extLst>
            <a:ext uri="{FF2B5EF4-FFF2-40B4-BE49-F238E27FC236}">
              <a16:creationId xmlns:a16="http://schemas.microsoft.com/office/drawing/2014/main" id="{99B68922-AC4E-4E5B-B7B4-EC4B8FE439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9</xdr:col>
      <xdr:colOff>495300</xdr:colOff>
      <xdr:row>58</xdr:row>
      <xdr:rowOff>28575</xdr:rowOff>
    </xdr:from>
    <xdr:to>
      <xdr:col>19</xdr:col>
      <xdr:colOff>342900</xdr:colOff>
      <xdr:row>79</xdr:row>
      <xdr:rowOff>142875</xdr:rowOff>
    </xdr:to>
    <xdr:graphicFrame macro="">
      <xdr:nvGraphicFramePr>
        <xdr:cNvPr id="5" name="Chart 4">
          <a:extLst>
            <a:ext uri="{FF2B5EF4-FFF2-40B4-BE49-F238E27FC236}">
              <a16:creationId xmlns:a16="http://schemas.microsoft.com/office/drawing/2014/main" id="{9C4267C2-EEC6-477E-AAC3-CD865E5842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20</xdr:col>
      <xdr:colOff>571500</xdr:colOff>
      <xdr:row>15</xdr:row>
      <xdr:rowOff>95250</xdr:rowOff>
    </xdr:from>
    <xdr:to>
      <xdr:col>28</xdr:col>
      <xdr:colOff>609599</xdr:colOff>
      <xdr:row>24</xdr:row>
      <xdr:rowOff>104775</xdr:rowOff>
    </xdr:to>
    <xdr:sp macro="" textlink="">
      <xdr:nvSpPr>
        <xdr:cNvPr id="2" name="Text ClimateModels">
          <a:extLst>
            <a:ext uri="{FF2B5EF4-FFF2-40B4-BE49-F238E27FC236}">
              <a16:creationId xmlns:a16="http://schemas.microsoft.com/office/drawing/2014/main" id="{C12CA053-BB3D-475A-BC27-A15789EDB4ED}"/>
            </a:ext>
          </a:extLst>
        </xdr:cNvPr>
        <xdr:cNvSpPr txBox="1">
          <a:spLocks noChangeArrowheads="1"/>
        </xdr:cNvSpPr>
      </xdr:nvSpPr>
      <xdr:spPr bwMode="auto">
        <a:xfrm>
          <a:off x="13592175" y="3619500"/>
          <a:ext cx="4914899" cy="1724025"/>
        </a:xfrm>
        <a:prstGeom prst="rect">
          <a:avLst/>
        </a:prstGeom>
        <a:solidFill>
          <a:srgbClr val="FFFFDD"/>
        </a:solidFill>
        <a:ln w="9525">
          <a:solidFill>
            <a:srgbClr val="000000"/>
          </a:solidFill>
          <a:miter lim="800000"/>
          <a:headEnd/>
          <a:tailEnd/>
        </a:ln>
      </xdr:spPr>
      <xdr:txBody>
        <a:bodyPr vertOverflow="clip" wrap="square" lIns="36576" tIns="27432" rIns="0" bIns="0" anchor="t"/>
        <a:lstStyle/>
        <a:p>
          <a:pPr algn="l" rtl="0">
            <a:defRPr sz="1000"/>
          </a:pPr>
          <a:r>
            <a:rPr lang="en-US" sz="1400" b="1" i="0" u="none" strike="noStrike" baseline="0">
              <a:solidFill>
                <a:srgbClr val="000000"/>
              </a:solidFill>
              <a:latin typeface="Calibri" panose="020F0502020204030204" pitchFamily="34" charset="0"/>
              <a:cs typeface="Calibri" panose="020F0502020204030204" pitchFamily="34" charset="0"/>
            </a:rPr>
            <a:t>ABS or GIWA?</a:t>
          </a:r>
        </a:p>
        <a:p>
          <a:pPr algn="l" rtl="0">
            <a:defRPr sz="1000"/>
          </a:pPr>
          <a:endParaRPr lang="en-US" sz="1100" b="0" i="0" u="none" strike="noStrike" baseline="0">
            <a:solidFill>
              <a:srgbClr val="000000"/>
            </a:solidFill>
            <a:latin typeface="Calibri" panose="020F0502020204030204" pitchFamily="34" charset="0"/>
            <a:cs typeface="Calibri" panose="020F0502020204030204" pitchFamily="34" charset="0"/>
          </a:endParaRP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The GIWA production data is only for Western Australia, is about 10% higher than ABS data, and includes wheat withheld for seed and feed.</a:t>
          </a:r>
        </a:p>
        <a:p>
          <a:pPr algn="l" rtl="0">
            <a:defRPr sz="1000"/>
          </a:pPr>
          <a:endParaRPr lang="en-US" sz="1100" b="0" i="0" u="none" strike="noStrike" baseline="0">
            <a:solidFill>
              <a:srgbClr val="000000"/>
            </a:solidFill>
            <a:latin typeface="Calibri" panose="020F0502020204030204" pitchFamily="34" charset="0"/>
            <a:cs typeface="Calibri" panose="020F0502020204030204" pitchFamily="34" charset="0"/>
          </a:endParaRP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We will use the ABS data here, because it the standard everyone will use, and because it is more conservative.</a:t>
          </a:r>
        </a:p>
        <a:p>
          <a:pPr algn="l" rtl="0">
            <a:defRPr sz="1000"/>
          </a:pPr>
          <a:endParaRPr lang="en-US" sz="1100" b="0" i="0" u="none" strike="noStrike" baseline="0">
            <a:solidFill>
              <a:srgbClr val="000000"/>
            </a:solidFill>
            <a:latin typeface="Calibri" panose="020F0502020204030204" pitchFamily="34" charset="0"/>
            <a:cs typeface="Calibri" panose="020F0502020204030204" pitchFamily="34" charset="0"/>
          </a:endParaRPr>
        </a:p>
        <a:p>
          <a:pPr algn="l" rtl="0">
            <a:defRPr sz="1000"/>
          </a:pPr>
          <a:endParaRPr lang="en-US" sz="1100" b="0" i="0" u="none" strike="noStrike" baseline="0">
            <a:solidFill>
              <a:srgbClr val="000000"/>
            </a:solidFill>
            <a:latin typeface="Calibri" panose="020F0502020204030204" pitchFamily="34" charset="0"/>
            <a:cs typeface="Calibri" panose="020F0502020204030204" pitchFamily="34" charset="0"/>
          </a:endParaRPr>
        </a:p>
        <a:p>
          <a:pPr algn="l" rtl="0">
            <a:defRPr sz="1000"/>
          </a:pPr>
          <a:endParaRPr lang="en-US" sz="1100" b="0" i="0" u="none" strike="noStrike" baseline="0">
            <a:solidFill>
              <a:srgbClr val="000000"/>
            </a:solidFill>
            <a:latin typeface="+mn-lt"/>
            <a:cs typeface="Arial"/>
          </a:endParaRPr>
        </a:p>
      </xdr:txBody>
    </xdr:sp>
    <xdr:clientData/>
  </xdr:twoCellAnchor>
</xdr:wsDr>
</file>

<file path=xl/drawings/drawing3.xml><?xml version="1.0" encoding="utf-8"?>
<c:userShapes xmlns:c="http://schemas.openxmlformats.org/drawingml/2006/chart">
  <cdr:relSizeAnchor xmlns:cdr="http://schemas.openxmlformats.org/drawingml/2006/chartDrawing">
    <cdr:from>
      <cdr:x>0.97006</cdr:x>
      <cdr:y>0.74396</cdr:y>
    </cdr:from>
    <cdr:to>
      <cdr:x>0.99004</cdr:x>
      <cdr:y>0.93663</cdr:y>
    </cdr:to>
    <cdr:sp macro="" textlink="">
      <cdr:nvSpPr>
        <cdr:cNvPr id="7" name="TextBox 1">
          <a:extLst xmlns:a="http://schemas.openxmlformats.org/drawingml/2006/main">
            <a:ext uri="{FF2B5EF4-FFF2-40B4-BE49-F238E27FC236}">
              <a16:creationId xmlns:a16="http://schemas.microsoft.com/office/drawing/2014/main" id="{F3906F0D-AC08-4ADF-9B24-A33865579F17}"/>
            </a:ext>
          </a:extLst>
        </cdr:cNvPr>
        <cdr:cNvSpPr txBox="1"/>
      </cdr:nvSpPr>
      <cdr:spPr>
        <a:xfrm xmlns:a="http://schemas.openxmlformats.org/drawingml/2006/main" rot="-5400000">
          <a:off x="5428641" y="3398262"/>
          <a:ext cx="792791" cy="118742"/>
        </a:xfrm>
        <a:prstGeom xmlns:a="http://schemas.openxmlformats.org/drawingml/2006/main" prst="rect">
          <a:avLst/>
        </a:prstGeom>
        <a:solidFill xmlns:a="http://schemas.openxmlformats.org/drawingml/2006/main">
          <a:schemeClr val="bg1"/>
        </a:solidFill>
      </cdr:spPr>
      <cdr:txBody>
        <a:bodyPr xmlns:a="http://schemas.openxmlformats.org/drawingml/2006/main" wrap="none" lIns="0" tIns="0" rIns="0" bIns="0"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800">
              <a:solidFill>
                <a:schemeClr val="bg1">
                  <a:lumMod val="65000"/>
                </a:schemeClr>
              </a:solidFill>
            </a:rPr>
            <a:t>greenblueprint.com.au</a:t>
          </a:r>
        </a:p>
      </cdr:txBody>
    </cdr:sp>
  </cdr:relSizeAnchor>
</c:userShapes>
</file>

<file path=xl/drawings/drawing4.xml><?xml version="1.0" encoding="utf-8"?>
<c:userShapes xmlns:c="http://schemas.openxmlformats.org/drawingml/2006/chart">
  <cdr:relSizeAnchor xmlns:cdr="http://schemas.openxmlformats.org/drawingml/2006/chartDrawing">
    <cdr:from>
      <cdr:x>0.97006</cdr:x>
      <cdr:y>0.74396</cdr:y>
    </cdr:from>
    <cdr:to>
      <cdr:x>0.99004</cdr:x>
      <cdr:y>0.93663</cdr:y>
    </cdr:to>
    <cdr:sp macro="" textlink="">
      <cdr:nvSpPr>
        <cdr:cNvPr id="7" name="TextBox 1">
          <a:extLst xmlns:a="http://schemas.openxmlformats.org/drawingml/2006/main">
            <a:ext uri="{FF2B5EF4-FFF2-40B4-BE49-F238E27FC236}">
              <a16:creationId xmlns:a16="http://schemas.microsoft.com/office/drawing/2014/main" id="{F3906F0D-AC08-4ADF-9B24-A33865579F17}"/>
            </a:ext>
          </a:extLst>
        </cdr:cNvPr>
        <cdr:cNvSpPr txBox="1"/>
      </cdr:nvSpPr>
      <cdr:spPr>
        <a:xfrm xmlns:a="http://schemas.openxmlformats.org/drawingml/2006/main" rot="-5400000">
          <a:off x="5428641" y="3398262"/>
          <a:ext cx="792791" cy="118742"/>
        </a:xfrm>
        <a:prstGeom xmlns:a="http://schemas.openxmlformats.org/drawingml/2006/main" prst="rect">
          <a:avLst/>
        </a:prstGeom>
        <a:solidFill xmlns:a="http://schemas.openxmlformats.org/drawingml/2006/main">
          <a:schemeClr val="bg1"/>
        </a:solidFill>
      </cdr:spPr>
      <cdr:txBody>
        <a:bodyPr xmlns:a="http://schemas.openxmlformats.org/drawingml/2006/main" wrap="none" lIns="0" tIns="0" rIns="0" bIns="0"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800">
              <a:solidFill>
                <a:schemeClr val="bg1">
                  <a:lumMod val="65000"/>
                </a:schemeClr>
              </a:solidFill>
            </a:rPr>
            <a:t>greenblueprint.com.au</a:t>
          </a:r>
        </a:p>
      </cdr:txBody>
    </cdr:sp>
  </cdr:relSizeAnchor>
</c:userShapes>
</file>

<file path=xl/drawings/drawing5.xml><?xml version="1.0" encoding="utf-8"?>
<c:userShapes xmlns:c="http://schemas.openxmlformats.org/drawingml/2006/chart">
  <cdr:relSizeAnchor xmlns:cdr="http://schemas.openxmlformats.org/drawingml/2006/chartDrawing">
    <cdr:from>
      <cdr:x>0.97006</cdr:x>
      <cdr:y>0.74396</cdr:y>
    </cdr:from>
    <cdr:to>
      <cdr:x>0.99004</cdr:x>
      <cdr:y>0.93663</cdr:y>
    </cdr:to>
    <cdr:sp macro="" textlink="">
      <cdr:nvSpPr>
        <cdr:cNvPr id="7" name="TextBox 1">
          <a:extLst xmlns:a="http://schemas.openxmlformats.org/drawingml/2006/main">
            <a:ext uri="{FF2B5EF4-FFF2-40B4-BE49-F238E27FC236}">
              <a16:creationId xmlns:a16="http://schemas.microsoft.com/office/drawing/2014/main" id="{F3906F0D-AC08-4ADF-9B24-A33865579F17}"/>
            </a:ext>
          </a:extLst>
        </cdr:cNvPr>
        <cdr:cNvSpPr txBox="1"/>
      </cdr:nvSpPr>
      <cdr:spPr>
        <a:xfrm xmlns:a="http://schemas.openxmlformats.org/drawingml/2006/main" rot="-5400000">
          <a:off x="5428641" y="3398262"/>
          <a:ext cx="792791" cy="118742"/>
        </a:xfrm>
        <a:prstGeom xmlns:a="http://schemas.openxmlformats.org/drawingml/2006/main" prst="rect">
          <a:avLst/>
        </a:prstGeom>
        <a:solidFill xmlns:a="http://schemas.openxmlformats.org/drawingml/2006/main">
          <a:schemeClr val="bg1"/>
        </a:solidFill>
      </cdr:spPr>
      <cdr:txBody>
        <a:bodyPr xmlns:a="http://schemas.openxmlformats.org/drawingml/2006/main" wrap="none" lIns="0" tIns="0" rIns="0" bIns="0"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800">
              <a:solidFill>
                <a:schemeClr val="bg1">
                  <a:lumMod val="65000"/>
                </a:schemeClr>
              </a:solidFill>
            </a:rPr>
            <a:t>greenblueprint.com.au</a:t>
          </a:r>
        </a:p>
      </cdr:txBody>
    </cdr:sp>
  </cdr:relSizeAnchor>
</c:userShapes>
</file>

<file path=xl/drawings/drawing6.xml><?xml version="1.0" encoding="utf-8"?>
<xdr:wsDr xmlns:xdr="http://schemas.openxmlformats.org/drawingml/2006/spreadsheetDrawing" xmlns:a="http://schemas.openxmlformats.org/drawingml/2006/main">
  <xdr:twoCellAnchor>
    <xdr:from>
      <xdr:col>5</xdr:col>
      <xdr:colOff>180975</xdr:colOff>
      <xdr:row>1</xdr:row>
      <xdr:rowOff>19051</xdr:rowOff>
    </xdr:from>
    <xdr:to>
      <xdr:col>13</xdr:col>
      <xdr:colOff>276225</xdr:colOff>
      <xdr:row>17</xdr:row>
      <xdr:rowOff>38100</xdr:rowOff>
    </xdr:to>
    <xdr:sp macro="" textlink="">
      <xdr:nvSpPr>
        <xdr:cNvPr id="2" name="Text ClimateModels">
          <a:extLst>
            <a:ext uri="{FF2B5EF4-FFF2-40B4-BE49-F238E27FC236}">
              <a16:creationId xmlns:a16="http://schemas.microsoft.com/office/drawing/2014/main" id="{35A4A40A-907A-4A43-809B-D84C4B869802}"/>
            </a:ext>
          </a:extLst>
        </xdr:cNvPr>
        <xdr:cNvSpPr txBox="1">
          <a:spLocks noChangeArrowheads="1"/>
        </xdr:cNvSpPr>
      </xdr:nvSpPr>
      <xdr:spPr bwMode="auto">
        <a:xfrm>
          <a:off x="3228975" y="352426"/>
          <a:ext cx="5114925" cy="3486149"/>
        </a:xfrm>
        <a:prstGeom prst="rect">
          <a:avLst/>
        </a:prstGeom>
        <a:solidFill>
          <a:srgbClr val="FFFFDD"/>
        </a:solidFill>
        <a:ln w="9525">
          <a:solidFill>
            <a:srgbClr val="000000"/>
          </a:solidFill>
          <a:miter lim="800000"/>
          <a:headEnd/>
          <a:tailEnd/>
        </a:ln>
      </xdr:spPr>
      <xdr:txBody>
        <a:bodyPr vertOverflow="clip" wrap="square" lIns="36576" tIns="27432" rIns="0" bIns="0" anchor="t"/>
        <a:lstStyle/>
        <a:p>
          <a:pPr algn="l" rtl="0">
            <a:defRPr sz="1000"/>
          </a:pPr>
          <a:r>
            <a:rPr lang="en-US" sz="1400" b="1" i="0" u="none" strike="noStrike" baseline="0">
              <a:solidFill>
                <a:srgbClr val="000000"/>
              </a:solidFill>
              <a:latin typeface="Calibri" panose="020F0502020204030204" pitchFamily="34" charset="0"/>
              <a:cs typeface="Calibri" panose="020F0502020204030204" pitchFamily="34" charset="0"/>
            </a:rPr>
            <a:t>Comments on Frost</a:t>
          </a:r>
        </a:p>
        <a:p>
          <a:pPr algn="l" rtl="0">
            <a:defRPr sz="1000"/>
          </a:pPr>
          <a:endParaRPr lang="en-US" sz="1100" b="0" i="0" u="none" strike="noStrike" baseline="0">
            <a:solidFill>
              <a:srgbClr val="000000"/>
            </a:solidFill>
            <a:latin typeface="Calibri" panose="020F0502020204030204" pitchFamily="34" charset="0"/>
            <a:cs typeface="Calibri" panose="020F0502020204030204" pitchFamily="34" charset="0"/>
          </a:endParaRP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1. GB's antifreeze protein (AFP) is not GM, but is SDN1. It uses plant editing, but not genetic modification.</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2. Australian farmers have no private or government crop insurance for frost damage. Farmer's main frost insurance tools are:</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        a) cut for or grow hay </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        b) delay sowing (but each day's delay lowers yield by 1%)</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        c) reduce inputs and yield targets.</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3. Direct frost damage ranges from 3 to 30% each year, 1 in 10 years is high loss.</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4. Indirect frost loss varies from regions and fields from 0 to 35%. </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5. AFP should halve frost losses and may reduce them by &gt; 90%.</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6. The yield losses are conservative and the financial losses are rubbery (because farmes can recoup some losses). </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7. There is a large social and psychological impact of frost, which can devastate or bruise a community overnight.</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8. The frost triangle region of WA is high in frost loss, while coastal and northern regions are low.</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9. There is a market for frost tolerant wheat, including in Argentina.</a:t>
          </a:r>
        </a:p>
        <a:p>
          <a:pPr algn="l" rtl="0">
            <a:defRPr sz="1000"/>
          </a:pPr>
          <a:endParaRPr lang="en-US" sz="1100" b="0" i="0" u="none" strike="noStrike" baseline="0">
            <a:solidFill>
              <a:srgbClr val="000000"/>
            </a:solidFill>
            <a:latin typeface="Calibri" panose="020F0502020204030204" pitchFamily="34" charset="0"/>
            <a:cs typeface="Calibri" panose="020F0502020204030204" pitchFamily="34" charset="0"/>
          </a:endParaRPr>
        </a:p>
        <a:p>
          <a:pPr algn="l" rtl="0">
            <a:defRPr sz="1000"/>
          </a:pPr>
          <a:endParaRPr lang="en-US" sz="1100" b="0" i="0" u="none" strike="noStrike" baseline="0">
            <a:solidFill>
              <a:srgbClr val="000000"/>
            </a:solidFill>
            <a:latin typeface="Calibri" panose="020F0502020204030204" pitchFamily="34" charset="0"/>
            <a:cs typeface="Calibri" panose="020F0502020204030204" pitchFamily="34" charset="0"/>
          </a:endParaRPr>
        </a:p>
        <a:p>
          <a:pPr algn="l" rtl="0">
            <a:defRPr sz="1000"/>
          </a:pPr>
          <a:endParaRPr lang="en-US" sz="1100" b="0" i="0" u="none" strike="noStrike" baseline="0">
            <a:solidFill>
              <a:srgbClr val="000000"/>
            </a:solidFill>
            <a:latin typeface="+mn-lt"/>
            <a:cs typeface="Arial"/>
          </a:endParaRPr>
        </a:p>
      </xdr:txBody>
    </xdr:sp>
    <xdr:clientData/>
  </xdr:twoCellAnchor>
  <xdr:twoCellAnchor>
    <xdr:from>
      <xdr:col>13</xdr:col>
      <xdr:colOff>342901</xdr:colOff>
      <xdr:row>1</xdr:row>
      <xdr:rowOff>28575</xdr:rowOff>
    </xdr:from>
    <xdr:to>
      <xdr:col>23</xdr:col>
      <xdr:colOff>276225</xdr:colOff>
      <xdr:row>17</xdr:row>
      <xdr:rowOff>38100</xdr:rowOff>
    </xdr:to>
    <xdr:sp macro="" textlink="">
      <xdr:nvSpPr>
        <xdr:cNvPr id="3" name="Text ClimateModels">
          <a:extLst>
            <a:ext uri="{FF2B5EF4-FFF2-40B4-BE49-F238E27FC236}">
              <a16:creationId xmlns:a16="http://schemas.microsoft.com/office/drawing/2014/main" id="{C2F81B39-A021-4200-A587-E5CFC59E612C}"/>
            </a:ext>
          </a:extLst>
        </xdr:cNvPr>
        <xdr:cNvSpPr txBox="1">
          <a:spLocks noChangeArrowheads="1"/>
        </xdr:cNvSpPr>
      </xdr:nvSpPr>
      <xdr:spPr bwMode="auto">
        <a:xfrm>
          <a:off x="8410576" y="361950"/>
          <a:ext cx="6029324" cy="3476625"/>
        </a:xfrm>
        <a:prstGeom prst="rect">
          <a:avLst/>
        </a:prstGeom>
        <a:solidFill>
          <a:srgbClr val="FFFFDD"/>
        </a:solidFill>
        <a:ln w="9525">
          <a:solidFill>
            <a:srgbClr val="000000"/>
          </a:solidFill>
          <a:miter lim="800000"/>
          <a:headEnd/>
          <a:tailEnd/>
        </a:ln>
      </xdr:spPr>
      <xdr:txBody>
        <a:bodyPr vertOverflow="clip" wrap="square" lIns="36576" tIns="27432" rIns="0" bIns="0" anchor="t"/>
        <a:lstStyle/>
        <a:p>
          <a:pPr algn="l" rtl="0">
            <a:defRPr sz="1000"/>
          </a:pPr>
          <a:r>
            <a:rPr lang="en-US" sz="1400" b="1" i="0" u="none" strike="noStrike" baseline="0">
              <a:solidFill>
                <a:srgbClr val="000000"/>
              </a:solidFill>
              <a:latin typeface="Calibri" panose="020F0502020204030204" pitchFamily="34" charset="0"/>
              <a:cs typeface="Calibri" panose="020F0502020204030204" pitchFamily="34" charset="0"/>
            </a:rPr>
            <a:t>Comments on Drought</a:t>
          </a:r>
        </a:p>
        <a:p>
          <a:pPr algn="l" rtl="0">
            <a:defRPr sz="1000"/>
          </a:pPr>
          <a:endParaRPr lang="en-US" sz="1100" b="0" i="0" u="none" strike="noStrike" baseline="0">
            <a:solidFill>
              <a:srgbClr val="000000"/>
            </a:solidFill>
            <a:latin typeface="Calibri" panose="020F0502020204030204" pitchFamily="34" charset="0"/>
            <a:cs typeface="Calibri" panose="020F0502020204030204" pitchFamily="34" charset="0"/>
          </a:endParaRP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1. The gene HB4, which confers improved tolerance to drought stress, is originally from sunflower. It is a GM trait. Bioceres has grown more than 55,000Ha of HB4 wheat commercially in Argentina and Uruguay.</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2. From field data, relative yields of HB4 wheat increase with increasing drought stress, typically:</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      30% in a 1 t/ha crop	10% in a 3-5 t/ha crop</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      20% in a 2-3 t/ha crop	non-existent at 5-6 t/ha.</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3. Most of the Australian wheatbelt experiences drought in most years.</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4. De-regulation of HB4 wheat for field growth in Australia is regulated by OGTR (submission in progress for field testing) and FSANZ (for food and feed).</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5. Following a detailed submission by Bioceres, FSANZ has approved use of HB4 wheat flour for food and feed use in Australia and New Zealand, and in several wheat-importing countries. (HB4 soybean has been approved for food and feed in 85% of the world's soy markets - Ar, Br, CA, US, China).</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6. HB4 will be accompanied with glufosinate ammonia tolerance -- a powerful herbicide tolerance gene with a different mode of action.</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7. GB intends to grow HB4 wheat initially in a closed loop system, and will work to expand acceptance.</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8. GB can combine the HB4 and AFP traits, which would attract a greater EPR.</a:t>
          </a:r>
        </a:p>
        <a:p>
          <a:pPr algn="l" rtl="0">
            <a:defRPr sz="1000"/>
          </a:pPr>
          <a:endParaRPr lang="en-US" sz="1100" b="0" i="0" u="none" strike="noStrike" baseline="0">
            <a:solidFill>
              <a:srgbClr val="000000"/>
            </a:solidFill>
            <a:latin typeface="Calibri" panose="020F0502020204030204" pitchFamily="34" charset="0"/>
            <a:cs typeface="Calibri" panose="020F0502020204030204" pitchFamily="34" charset="0"/>
          </a:endParaRPr>
        </a:p>
        <a:p>
          <a:pPr algn="l" rtl="0">
            <a:defRPr sz="1000"/>
          </a:pPr>
          <a:endParaRPr lang="en-US" sz="1100" b="0" i="0" u="none" strike="noStrike" baseline="0">
            <a:solidFill>
              <a:srgbClr val="000000"/>
            </a:solidFill>
            <a:latin typeface="+mn-lt"/>
            <a:cs typeface="Arial"/>
          </a:endParaRPr>
        </a:p>
      </xdr:txBody>
    </xdr:sp>
    <xdr:clientData/>
  </xdr:twoCellAnchor>
  <xdr:twoCellAnchor>
    <xdr:from>
      <xdr:col>0</xdr:col>
      <xdr:colOff>9525</xdr:colOff>
      <xdr:row>3</xdr:row>
      <xdr:rowOff>2</xdr:rowOff>
    </xdr:from>
    <xdr:to>
      <xdr:col>1</xdr:col>
      <xdr:colOff>608279</xdr:colOff>
      <xdr:row>5</xdr:row>
      <xdr:rowOff>0</xdr:rowOff>
    </xdr:to>
    <xdr:sp macro="" textlink="">
      <xdr:nvSpPr>
        <xdr:cNvPr id="4" name="Text ClimateModels">
          <a:extLst>
            <a:ext uri="{FF2B5EF4-FFF2-40B4-BE49-F238E27FC236}">
              <a16:creationId xmlns:a16="http://schemas.microsoft.com/office/drawing/2014/main" id="{4BFE18CE-A4DF-ACE1-19B6-6232914D6D53}"/>
            </a:ext>
          </a:extLst>
        </xdr:cNvPr>
        <xdr:cNvSpPr txBox="1">
          <a:spLocks noChangeArrowheads="1"/>
        </xdr:cNvSpPr>
      </xdr:nvSpPr>
      <xdr:spPr bwMode="auto">
        <a:xfrm>
          <a:off x="9525" y="721450"/>
          <a:ext cx="1207034" cy="377226"/>
        </a:xfrm>
        <a:prstGeom prst="rect">
          <a:avLst/>
        </a:prstGeom>
        <a:solidFill>
          <a:schemeClr val="bg1">
            <a:lumMod val="85000"/>
          </a:schemeClr>
        </a:solidFill>
        <a:ln w="9525">
          <a:noFill/>
          <a:miter lim="800000"/>
          <a:headEnd/>
          <a:tailEnd/>
        </a:ln>
      </xdr:spPr>
      <xdr:txBody>
        <a:bodyPr vertOverflow="clip" wrap="square" lIns="36576" tIns="18000" rIns="36000" bIns="0" anchor="t"/>
        <a:lstStyle/>
        <a:p>
          <a:pPr algn="r" rtl="0">
            <a:defRPr sz="1000"/>
          </a:pPr>
          <a:r>
            <a:rPr lang="en-US" sz="1100" b="1" i="1" u="none" strike="noStrike" baseline="0">
              <a:solidFill>
                <a:schemeClr val="tx2">
                  <a:lumMod val="50000"/>
                </a:schemeClr>
              </a:solidFill>
              <a:latin typeface="Calibri" panose="020F0502020204030204" pitchFamily="34" charset="0"/>
              <a:cs typeface="Calibri" panose="020F0502020204030204" pitchFamily="34" charset="0"/>
            </a:rPr>
            <a:t>Potential Savings </a:t>
          </a:r>
        </a:p>
        <a:p>
          <a:pPr algn="r" rtl="0">
            <a:defRPr sz="1000"/>
          </a:pPr>
          <a:r>
            <a:rPr lang="en-US" sz="1100" b="1" i="1" u="none" strike="noStrike" baseline="0">
              <a:solidFill>
                <a:schemeClr val="tx2">
                  <a:lumMod val="50000"/>
                </a:schemeClr>
              </a:solidFill>
              <a:latin typeface="Calibri" panose="020F0502020204030204" pitchFamily="34" charset="0"/>
              <a:cs typeface="Calibri" panose="020F0502020204030204" pitchFamily="34" charset="0"/>
            </a:rPr>
            <a:t>Across Australia</a:t>
          </a:r>
        </a:p>
        <a:p>
          <a:pPr algn="l" rtl="0">
            <a:defRPr sz="1000"/>
          </a:pPr>
          <a:endParaRPr lang="en-US" sz="1100" b="0" i="0" u="none" strike="noStrike" baseline="0">
            <a:solidFill>
              <a:srgbClr val="000000"/>
            </a:solidFill>
            <a:latin typeface="Calibri" panose="020F0502020204030204" pitchFamily="34" charset="0"/>
            <a:cs typeface="Calibri" panose="020F0502020204030204" pitchFamily="34" charset="0"/>
          </a:endParaRPr>
        </a:p>
        <a:p>
          <a:pPr algn="l" rtl="0">
            <a:defRPr sz="1000"/>
          </a:pPr>
          <a:endParaRPr lang="en-US" sz="1100" b="0" i="0" u="none" strike="noStrike" baseline="0">
            <a:solidFill>
              <a:srgbClr val="000000"/>
            </a:solidFill>
            <a:latin typeface="+mn-lt"/>
            <a:cs typeface="Arial"/>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10</xdr:col>
      <xdr:colOff>9525</xdr:colOff>
      <xdr:row>2</xdr:row>
      <xdr:rowOff>180976</xdr:rowOff>
    </xdr:from>
    <xdr:to>
      <xdr:col>18</xdr:col>
      <xdr:colOff>466726</xdr:colOff>
      <xdr:row>11</xdr:row>
      <xdr:rowOff>142875</xdr:rowOff>
    </xdr:to>
    <xdr:sp macro="" textlink="">
      <xdr:nvSpPr>
        <xdr:cNvPr id="2" name="Text ClimateModels">
          <a:extLst>
            <a:ext uri="{FF2B5EF4-FFF2-40B4-BE49-F238E27FC236}">
              <a16:creationId xmlns:a16="http://schemas.microsoft.com/office/drawing/2014/main" id="{273302AF-1528-4F77-B28D-75C588801CC4}"/>
            </a:ext>
          </a:extLst>
        </xdr:cNvPr>
        <xdr:cNvSpPr txBox="1">
          <a:spLocks noChangeArrowheads="1"/>
        </xdr:cNvSpPr>
      </xdr:nvSpPr>
      <xdr:spPr bwMode="auto">
        <a:xfrm>
          <a:off x="6572250" y="600076"/>
          <a:ext cx="5581651" cy="1895474"/>
        </a:xfrm>
        <a:prstGeom prst="rect">
          <a:avLst/>
        </a:prstGeom>
        <a:solidFill>
          <a:srgbClr val="FFFFDD"/>
        </a:solidFill>
        <a:ln w="9525">
          <a:solidFill>
            <a:srgbClr val="000000"/>
          </a:solidFill>
          <a:miter lim="800000"/>
          <a:headEnd/>
          <a:tailEnd/>
        </a:ln>
      </xdr:spPr>
      <xdr:txBody>
        <a:bodyPr vertOverflow="clip" wrap="square" lIns="36576" tIns="27432" rIns="0" bIns="0" anchor="t"/>
        <a:lstStyle/>
        <a:p>
          <a:pPr algn="l" rtl="0">
            <a:defRPr sz="1000"/>
          </a:pPr>
          <a:r>
            <a:rPr lang="en-US" sz="1400" b="1" i="0" u="none" strike="noStrike" baseline="0">
              <a:solidFill>
                <a:srgbClr val="000000"/>
              </a:solidFill>
              <a:latin typeface="Calibri" panose="020F0502020204030204" pitchFamily="34" charset="0"/>
              <a:cs typeface="Calibri" panose="020F0502020204030204" pitchFamily="34" charset="0"/>
            </a:rPr>
            <a:t>Comments</a:t>
          </a:r>
        </a:p>
        <a:p>
          <a:pPr algn="l" rtl="0">
            <a:defRPr sz="1000"/>
          </a:pPr>
          <a:endParaRPr lang="en-US" sz="1100" b="0" i="0" u="none" strike="noStrike" baseline="0">
            <a:solidFill>
              <a:srgbClr val="000000"/>
            </a:solidFill>
            <a:latin typeface="Calibri" panose="020F0502020204030204" pitchFamily="34" charset="0"/>
            <a:cs typeface="Calibri" panose="020F0502020204030204" pitchFamily="34" charset="0"/>
          </a:endParaRP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1. We believe that the AFP gene will give a 15% yield lift, and HB4 will give a 20% yield lift.</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2. Mace wheat had a faster adoption rate, and its yield lift was only 7%. Play with the</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    adoption rates below -- we have a fast (Mace wheat adoption), med, slow (no-till), &amp; custom.</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3. Assumes rapid bulk up of seeds and no technical glitches.</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4. Assumes GB makes no other innovation -- not likely!</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5. Interest in HB4 will stay strong because it will be glufosinate ammonia resistant wheat.</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6. These projections are for the Australian market only.</a:t>
          </a:r>
        </a:p>
        <a:p>
          <a:pPr algn="l" rtl="0">
            <a:defRPr sz="1000"/>
          </a:pPr>
          <a:endParaRPr lang="en-US" sz="1100" b="0" i="0" u="none" strike="noStrike" baseline="0">
            <a:solidFill>
              <a:srgbClr val="000000"/>
            </a:solidFill>
            <a:latin typeface="Calibri" panose="020F0502020204030204" pitchFamily="34" charset="0"/>
            <a:cs typeface="Calibri" panose="020F0502020204030204" pitchFamily="34" charset="0"/>
          </a:endParaRPr>
        </a:p>
        <a:p>
          <a:pPr algn="l" rtl="0">
            <a:defRPr sz="1000"/>
          </a:pPr>
          <a:endParaRPr lang="en-US" sz="1100" b="0" i="0" u="none" strike="noStrike" baseline="0">
            <a:solidFill>
              <a:srgbClr val="000000"/>
            </a:solidFill>
            <a:latin typeface="+mn-lt"/>
            <a:cs typeface="Arial"/>
          </a:endParaRPr>
        </a:p>
      </xdr:txBody>
    </xdr:sp>
    <xdr:clientData/>
  </xdr:twoCellAnchor>
  <xdr:twoCellAnchor editAs="oneCell">
    <xdr:from>
      <xdr:col>11</xdr:col>
      <xdr:colOff>314325</xdr:colOff>
      <xdr:row>49</xdr:row>
      <xdr:rowOff>0</xdr:rowOff>
    </xdr:from>
    <xdr:to>
      <xdr:col>21</xdr:col>
      <xdr:colOff>57150</xdr:colOff>
      <xdr:row>69</xdr:row>
      <xdr:rowOff>171450</xdr:rowOff>
    </xdr:to>
    <xdr:graphicFrame macro="">
      <xdr:nvGraphicFramePr>
        <xdr:cNvPr id="3" name="Chart 2">
          <a:extLst>
            <a:ext uri="{FF2B5EF4-FFF2-40B4-BE49-F238E27FC236}">
              <a16:creationId xmlns:a16="http://schemas.microsoft.com/office/drawing/2014/main" id="{46812A83-D4A3-462F-BC90-5F862BBAD71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2</xdr:col>
      <xdr:colOff>285749</xdr:colOff>
      <xdr:row>2</xdr:row>
      <xdr:rowOff>171450</xdr:rowOff>
    </xdr:from>
    <xdr:to>
      <xdr:col>8</xdr:col>
      <xdr:colOff>590549</xdr:colOff>
      <xdr:row>11</xdr:row>
      <xdr:rowOff>9524</xdr:rowOff>
    </xdr:to>
    <xdr:graphicFrame macro="">
      <xdr:nvGraphicFramePr>
        <xdr:cNvPr id="4" name="Chart 3">
          <a:extLst>
            <a:ext uri="{FF2B5EF4-FFF2-40B4-BE49-F238E27FC236}">
              <a16:creationId xmlns:a16="http://schemas.microsoft.com/office/drawing/2014/main" id="{D38F691A-F334-DAF4-C1E2-2530E6F6936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161924</xdr:colOff>
      <xdr:row>20</xdr:row>
      <xdr:rowOff>0</xdr:rowOff>
    </xdr:from>
    <xdr:to>
      <xdr:col>11</xdr:col>
      <xdr:colOff>276225</xdr:colOff>
      <xdr:row>22</xdr:row>
      <xdr:rowOff>209550</xdr:rowOff>
    </xdr:to>
    <xdr:sp macro="" textlink="">
      <xdr:nvSpPr>
        <xdr:cNvPr id="5" name="Text ClimateModels">
          <a:extLst>
            <a:ext uri="{FF2B5EF4-FFF2-40B4-BE49-F238E27FC236}">
              <a16:creationId xmlns:a16="http://schemas.microsoft.com/office/drawing/2014/main" id="{A5A83613-B354-4315-AD7A-955E79DADA97}"/>
            </a:ext>
          </a:extLst>
        </xdr:cNvPr>
        <xdr:cNvSpPr txBox="1">
          <a:spLocks noChangeArrowheads="1"/>
        </xdr:cNvSpPr>
      </xdr:nvSpPr>
      <xdr:spPr bwMode="auto">
        <a:xfrm>
          <a:off x="5991224" y="4086225"/>
          <a:ext cx="1600201" cy="590550"/>
        </a:xfrm>
        <a:prstGeom prst="rect">
          <a:avLst/>
        </a:prstGeom>
        <a:solidFill>
          <a:schemeClr val="bg1">
            <a:lumMod val="85000"/>
          </a:schemeClr>
        </a:solidFill>
        <a:ln w="9525">
          <a:noFill/>
          <a:miter lim="800000"/>
          <a:headEnd/>
          <a:tailEnd/>
        </a:ln>
      </xdr:spPr>
      <xdr:txBody>
        <a:bodyPr vertOverflow="clip" wrap="square" lIns="36576" tIns="18000" rIns="36000" bIns="0" anchor="t"/>
        <a:lstStyle/>
        <a:p>
          <a:pPr algn="ctr" rtl="0">
            <a:defRPr sz="1000"/>
          </a:pPr>
          <a:r>
            <a:rPr lang="en-US" sz="1100" b="1" i="1" u="none" strike="noStrike" baseline="0">
              <a:solidFill>
                <a:schemeClr val="tx2">
                  <a:lumMod val="50000"/>
                </a:schemeClr>
              </a:solidFill>
              <a:latin typeface="Calibri" panose="020F0502020204030204" pitchFamily="34" charset="0"/>
              <a:cs typeface="Calibri" panose="020F0502020204030204" pitchFamily="34" charset="0"/>
            </a:rPr>
            <a:t>&lt;-- Choose adoption curves</a:t>
          </a:r>
        </a:p>
        <a:p>
          <a:pPr algn="ctr" rtl="0">
            <a:defRPr sz="1000"/>
          </a:pPr>
          <a:r>
            <a:rPr lang="en-US" sz="1100" b="1" i="1" u="none" strike="noStrike" baseline="0">
              <a:solidFill>
                <a:schemeClr val="tx2">
                  <a:lumMod val="50000"/>
                </a:schemeClr>
              </a:solidFill>
              <a:latin typeface="Calibri" panose="020F0502020204030204" pitchFamily="34" charset="0"/>
              <a:cs typeface="Calibri" panose="020F0502020204030204" pitchFamily="34" charset="0"/>
            </a:rPr>
            <a:t>by column numbers</a:t>
          </a:r>
        </a:p>
        <a:p>
          <a:pPr algn="ctr" rtl="0">
            <a:defRPr sz="1000"/>
          </a:pPr>
          <a:endParaRPr lang="en-US" sz="1100" b="0" i="0" u="none" strike="noStrike" baseline="0">
            <a:solidFill>
              <a:srgbClr val="000000"/>
            </a:solidFill>
            <a:latin typeface="Calibri" panose="020F0502020204030204" pitchFamily="34" charset="0"/>
            <a:cs typeface="Calibri" panose="020F0502020204030204" pitchFamily="34" charset="0"/>
          </a:endParaRPr>
        </a:p>
        <a:p>
          <a:pPr algn="ctr" rtl="0">
            <a:defRPr sz="1000"/>
          </a:pPr>
          <a:endParaRPr lang="en-US" sz="1100" b="0" i="0" u="none" strike="noStrike" baseline="0">
            <a:solidFill>
              <a:srgbClr val="000000"/>
            </a:solidFill>
            <a:latin typeface="+mn-lt"/>
            <a:cs typeface="Arial"/>
          </a:endParaRPr>
        </a:p>
      </xdr:txBody>
    </xdr:sp>
    <xdr:clientData/>
  </xdr:twoCellAnchor>
  <xdr:twoCellAnchor editAs="oneCell">
    <xdr:from>
      <xdr:col>11</xdr:col>
      <xdr:colOff>381000</xdr:colOff>
      <xdr:row>22</xdr:row>
      <xdr:rowOff>9525</xdr:rowOff>
    </xdr:from>
    <xdr:to>
      <xdr:col>21</xdr:col>
      <xdr:colOff>123825</xdr:colOff>
      <xdr:row>41</xdr:row>
      <xdr:rowOff>123825</xdr:rowOff>
    </xdr:to>
    <xdr:graphicFrame macro="">
      <xdr:nvGraphicFramePr>
        <xdr:cNvPr id="6" name="Chart 5">
          <a:extLst>
            <a:ext uri="{FF2B5EF4-FFF2-40B4-BE49-F238E27FC236}">
              <a16:creationId xmlns:a16="http://schemas.microsoft.com/office/drawing/2014/main" id="{8DE8A439-2BCF-4F6B-81F9-7D46B771720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8.xml><?xml version="1.0" encoding="utf-8"?>
<c:userShapes xmlns:c="http://schemas.openxmlformats.org/drawingml/2006/chart">
  <cdr:relSizeAnchor xmlns:cdr="http://schemas.openxmlformats.org/drawingml/2006/chartDrawing">
    <cdr:from>
      <cdr:x>0.96635</cdr:x>
      <cdr:y>0.6875</cdr:y>
    </cdr:from>
    <cdr:to>
      <cdr:x>0.99004</cdr:x>
      <cdr:y>0.93663</cdr:y>
    </cdr:to>
    <cdr:sp macro="" textlink="">
      <cdr:nvSpPr>
        <cdr:cNvPr id="7" name="TextBox 1">
          <a:extLst xmlns:a="http://schemas.openxmlformats.org/drawingml/2006/main">
            <a:ext uri="{FF2B5EF4-FFF2-40B4-BE49-F238E27FC236}">
              <a16:creationId xmlns:a16="http://schemas.microsoft.com/office/drawing/2014/main" id="{F3906F0D-AC08-4ADF-9B24-A33865579F17}"/>
            </a:ext>
          </a:extLst>
        </cdr:cNvPr>
        <cdr:cNvSpPr txBox="1"/>
      </cdr:nvSpPr>
      <cdr:spPr>
        <a:xfrm xmlns:a="http://schemas.openxmlformats.org/drawingml/2006/main" rot="-5400000">
          <a:off x="5301431" y="3271072"/>
          <a:ext cx="1025120" cy="140825"/>
        </a:xfrm>
        <a:prstGeom xmlns:a="http://schemas.openxmlformats.org/drawingml/2006/main" prst="rect">
          <a:avLst/>
        </a:prstGeom>
        <a:solidFill xmlns:a="http://schemas.openxmlformats.org/drawingml/2006/main">
          <a:schemeClr val="bg1"/>
        </a:solidFill>
      </cdr:spPr>
      <cdr:txBody>
        <a:bodyPr xmlns:a="http://schemas.openxmlformats.org/drawingml/2006/main" wrap="none" lIns="0" tIns="0" rIns="0" bIns="0"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800">
              <a:solidFill>
                <a:schemeClr val="bg1">
                  <a:lumMod val="65000"/>
                </a:schemeClr>
              </a:solidFill>
            </a:rPr>
            <a:t>greenblueprint.com.au</a:t>
          </a:r>
        </a:p>
      </cdr:txBody>
    </cdr:sp>
  </cdr:relSizeAnchor>
</c:userShapes>
</file>

<file path=xl/drawings/drawing9.xml><?xml version="1.0" encoding="utf-8"?>
<c:userShapes xmlns:c="http://schemas.openxmlformats.org/drawingml/2006/chart">
  <cdr:relSizeAnchor xmlns:cdr="http://schemas.openxmlformats.org/drawingml/2006/chartDrawing">
    <cdr:from>
      <cdr:x>0.96107</cdr:x>
      <cdr:y>0.6203</cdr:y>
    </cdr:from>
    <cdr:to>
      <cdr:x>0.98105</cdr:x>
      <cdr:y>0.81297</cdr:y>
    </cdr:to>
    <cdr:sp macro="" textlink="">
      <cdr:nvSpPr>
        <cdr:cNvPr id="7" name="TextBox 1">
          <a:extLst xmlns:a="http://schemas.openxmlformats.org/drawingml/2006/main">
            <a:ext uri="{FF2B5EF4-FFF2-40B4-BE49-F238E27FC236}">
              <a16:creationId xmlns:a16="http://schemas.microsoft.com/office/drawing/2014/main" id="{F3906F0D-AC08-4ADF-9B24-A33865579F17}"/>
            </a:ext>
          </a:extLst>
        </cdr:cNvPr>
        <cdr:cNvSpPr txBox="1"/>
      </cdr:nvSpPr>
      <cdr:spPr>
        <a:xfrm xmlns:a="http://schemas.openxmlformats.org/drawingml/2006/main" rot="-5400000">
          <a:off x="3945295" y="1227289"/>
          <a:ext cx="341344" cy="84687"/>
        </a:xfrm>
        <a:prstGeom xmlns:a="http://schemas.openxmlformats.org/drawingml/2006/main" prst="rect">
          <a:avLst/>
        </a:prstGeom>
        <a:solidFill xmlns:a="http://schemas.openxmlformats.org/drawingml/2006/main">
          <a:schemeClr val="bg1"/>
        </a:solidFill>
      </cdr:spPr>
      <cdr:txBody>
        <a:bodyPr xmlns:a="http://schemas.openxmlformats.org/drawingml/2006/main" wrap="none" lIns="0" tIns="0" rIns="0" bIns="0"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800">
              <a:solidFill>
                <a:schemeClr val="bg1">
                  <a:lumMod val="65000"/>
                </a:schemeClr>
              </a:solidFill>
            </a:rPr>
            <a:t>greenblueprint.com.au</a:t>
          </a:r>
        </a:p>
      </cdr:txBody>
    </cdr:sp>
  </cdr:relSizeAnchor>
</c:userShapes>
</file>

<file path=xl/drawings/drawing10.xml><?xml version="1.0" encoding="utf-8"?>
<c:userShapes xmlns:c="http://schemas.openxmlformats.org/drawingml/2006/chart">
  <cdr:relSizeAnchor xmlns:cdr="http://schemas.openxmlformats.org/drawingml/2006/chartDrawing">
    <cdr:from>
      <cdr:x>0.97006</cdr:x>
      <cdr:y>0.60276</cdr:y>
    </cdr:from>
    <cdr:to>
      <cdr:x>0.99004</cdr:x>
      <cdr:y>0.79543</cdr:y>
    </cdr:to>
    <cdr:sp macro="" textlink="">
      <cdr:nvSpPr>
        <cdr:cNvPr id="7" name="TextBox 1">
          <a:extLst xmlns:a="http://schemas.openxmlformats.org/drawingml/2006/main">
            <a:ext uri="{FF2B5EF4-FFF2-40B4-BE49-F238E27FC236}">
              <a16:creationId xmlns:a16="http://schemas.microsoft.com/office/drawing/2014/main" id="{F3906F0D-AC08-4ADF-9B24-A33865579F17}"/>
            </a:ext>
          </a:extLst>
        </cdr:cNvPr>
        <cdr:cNvSpPr txBox="1"/>
      </cdr:nvSpPr>
      <cdr:spPr>
        <a:xfrm xmlns:a="http://schemas.openxmlformats.org/drawingml/2006/main" rot="-5400000">
          <a:off x="5428628" y="2817244"/>
          <a:ext cx="792798" cy="118753"/>
        </a:xfrm>
        <a:prstGeom xmlns:a="http://schemas.openxmlformats.org/drawingml/2006/main" prst="rect">
          <a:avLst/>
        </a:prstGeom>
        <a:solidFill xmlns:a="http://schemas.openxmlformats.org/drawingml/2006/main">
          <a:schemeClr val="bg1"/>
        </a:solidFill>
      </cdr:spPr>
      <cdr:txBody>
        <a:bodyPr xmlns:a="http://schemas.openxmlformats.org/drawingml/2006/main" wrap="none" lIns="0" tIns="0" rIns="0" bIns="0"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800">
              <a:solidFill>
                <a:schemeClr val="bg1">
                  <a:lumMod val="65000"/>
                </a:schemeClr>
              </a:solidFill>
            </a:rPr>
            <a:t>greenblueprint.com.au</a:t>
          </a:r>
        </a:p>
      </cdr:txBody>
    </cdr:sp>
  </cdr:relSizeAnchor>
</c:userShapes>
</file>

<file path=xl/drawings/drawing11.xml><?xml version="1.0" encoding="utf-8"?>
<xdr:wsDr xmlns:xdr="http://schemas.openxmlformats.org/drawingml/2006/spreadsheetDrawing" xmlns:a="http://schemas.openxmlformats.org/drawingml/2006/main">
  <xdr:twoCellAnchor>
    <xdr:from>
      <xdr:col>8</xdr:col>
      <xdr:colOff>104776</xdr:colOff>
      <xdr:row>2</xdr:row>
      <xdr:rowOff>190502</xdr:rowOff>
    </xdr:from>
    <xdr:to>
      <xdr:col>16</xdr:col>
      <xdr:colOff>514351</xdr:colOff>
      <xdr:row>9</xdr:row>
      <xdr:rowOff>171451</xdr:rowOff>
    </xdr:to>
    <xdr:sp macro="" textlink="">
      <xdr:nvSpPr>
        <xdr:cNvPr id="3" name="Text ClimateModels">
          <a:extLst>
            <a:ext uri="{FF2B5EF4-FFF2-40B4-BE49-F238E27FC236}">
              <a16:creationId xmlns:a16="http://schemas.microsoft.com/office/drawing/2014/main" id="{CACEEF5C-038E-48DD-A3D7-5616E8ED5444}"/>
            </a:ext>
          </a:extLst>
        </xdr:cNvPr>
        <xdr:cNvSpPr txBox="1">
          <a:spLocks noChangeArrowheads="1"/>
        </xdr:cNvSpPr>
      </xdr:nvSpPr>
      <xdr:spPr bwMode="auto">
        <a:xfrm>
          <a:off x="5648326" y="638177"/>
          <a:ext cx="5410200" cy="1476374"/>
        </a:xfrm>
        <a:prstGeom prst="rect">
          <a:avLst/>
        </a:prstGeom>
        <a:solidFill>
          <a:srgbClr val="FFFFDD"/>
        </a:solidFill>
        <a:ln w="9525">
          <a:solidFill>
            <a:srgbClr val="000000"/>
          </a:solidFill>
          <a:miter lim="800000"/>
          <a:headEnd/>
          <a:tailEnd/>
        </a:ln>
      </xdr:spPr>
      <xdr:txBody>
        <a:bodyPr vertOverflow="clip" wrap="square" lIns="36576" tIns="27432" rIns="0" bIns="0" anchor="t"/>
        <a:lstStyle/>
        <a:p>
          <a:pPr algn="l" rtl="0">
            <a:defRPr sz="1000"/>
          </a:pPr>
          <a:r>
            <a:rPr lang="en-US" sz="1400" b="1" i="0" u="none" strike="noStrike" baseline="0">
              <a:solidFill>
                <a:srgbClr val="000000"/>
              </a:solidFill>
              <a:latin typeface="Calibri" panose="020F0502020204030204" pitchFamily="34" charset="0"/>
              <a:cs typeface="Calibri" panose="020F0502020204030204" pitchFamily="34" charset="0"/>
            </a:rPr>
            <a:t>Two -Year Plan</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AFP:  John FN and 4 techs for 2 years to conduct trials, develop plants</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HB4: Bioceres will carry the field/phenotyping costs if we get involved, so no costs.</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Marketing: Bill &amp; David road shows and contacts, conferences</a:t>
          </a:r>
        </a:p>
        <a:p>
          <a:pPr algn="l" rtl="0">
            <a:defRPr sz="1000"/>
          </a:pPr>
          <a:r>
            <a:rPr lang="en-US" sz="1100" b="0" i="0" u="none" strike="noStrike" baseline="0">
              <a:solidFill>
                <a:srgbClr val="000000"/>
              </a:solidFill>
              <a:latin typeface="Calibri" panose="020F0502020204030204" pitchFamily="34" charset="0"/>
              <a:cs typeface="Calibri" panose="020F0502020204030204" pitchFamily="34" charset="0"/>
            </a:rPr>
            <a:t>Lawyers: Advice now, probably nothing to patent until field trials are nearing completion. </a:t>
          </a:r>
        </a:p>
        <a:p>
          <a:pPr algn="l" rtl="0">
            <a:defRPr sz="1000"/>
          </a:pPr>
          <a:endParaRPr lang="en-US" sz="1100" b="0" i="0" u="none" strike="noStrike" baseline="0">
            <a:solidFill>
              <a:srgbClr val="000000"/>
            </a:solidFill>
            <a:latin typeface="Calibri" panose="020F0502020204030204" pitchFamily="34" charset="0"/>
            <a:cs typeface="Calibri" panose="020F0502020204030204" pitchFamily="34" charset="0"/>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7</xdr:col>
      <xdr:colOff>352425</xdr:colOff>
      <xdr:row>1</xdr:row>
      <xdr:rowOff>85726</xdr:rowOff>
    </xdr:from>
    <xdr:to>
      <xdr:col>15</xdr:col>
      <xdr:colOff>571500</xdr:colOff>
      <xdr:row>12</xdr:row>
      <xdr:rowOff>123825</xdr:rowOff>
    </xdr:to>
    <xdr:sp macro="" textlink="">
      <xdr:nvSpPr>
        <xdr:cNvPr id="4" name="Text ClimateModels">
          <a:extLst>
            <a:ext uri="{FF2B5EF4-FFF2-40B4-BE49-F238E27FC236}">
              <a16:creationId xmlns:a16="http://schemas.microsoft.com/office/drawing/2014/main" id="{024781BC-D1E9-4891-805D-1ADE919CA8B6}"/>
            </a:ext>
          </a:extLst>
        </xdr:cNvPr>
        <xdr:cNvSpPr txBox="1">
          <a:spLocks noChangeArrowheads="1"/>
        </xdr:cNvSpPr>
      </xdr:nvSpPr>
      <xdr:spPr bwMode="auto">
        <a:xfrm>
          <a:off x="4933950" y="419101"/>
          <a:ext cx="5353050" cy="2343149"/>
        </a:xfrm>
        <a:prstGeom prst="rect">
          <a:avLst/>
        </a:prstGeom>
        <a:solidFill>
          <a:srgbClr val="FFFFDD"/>
        </a:solidFill>
        <a:ln w="9525">
          <a:solidFill>
            <a:srgbClr val="000000"/>
          </a:solidFill>
          <a:miter lim="800000"/>
          <a:headEnd/>
          <a:tailEnd/>
        </a:ln>
      </xdr:spPr>
      <xdr:txBody>
        <a:bodyPr vertOverflow="clip" wrap="square" lIns="36576" tIns="27432" rIns="0" bIns="0" anchor="t"/>
        <a:lstStyle/>
        <a:p>
          <a:pPr algn="l" rtl="0">
            <a:defRPr sz="1000"/>
          </a:pPr>
          <a:r>
            <a:rPr lang="en-US" sz="1400" b="1" i="0" u="none" strike="noStrike" baseline="0">
              <a:solidFill>
                <a:srgbClr val="000000"/>
              </a:solidFill>
              <a:latin typeface="Calibri" panose="020F0502020204030204" pitchFamily="34" charset="0"/>
              <a:cs typeface="Calibri" panose="020F0502020204030204" pitchFamily="34" charset="0"/>
            </a:rPr>
            <a:t>Assumptions</a:t>
          </a:r>
        </a:p>
        <a:p>
          <a:pPr algn="l" rtl="0">
            <a:defRPr sz="1000"/>
          </a:pPr>
          <a:endParaRPr lang="en-US" sz="1100" b="0" i="0" u="none" strike="noStrike" baseline="0">
            <a:solidFill>
              <a:srgbClr val="000000"/>
            </a:solidFill>
            <a:latin typeface="Calibri" panose="020F0502020204030204" pitchFamily="34" charset="0"/>
            <a:cs typeface="Calibri" panose="020F0502020204030204" pitchFamily="34" charset="0"/>
          </a:endParaRPr>
        </a:p>
        <a:p>
          <a:pPr algn="l" rtl="0">
            <a:defRPr sz="1000"/>
          </a:pPr>
          <a:r>
            <a:rPr lang="en-US" sz="1100" b="0" i="0" u="none" strike="noStrike" baseline="0">
              <a:solidFill>
                <a:srgbClr val="000000"/>
              </a:solidFill>
              <a:latin typeface="+mn-lt"/>
              <a:cs typeface="Arial"/>
            </a:rPr>
            <a:t>1. AFP passes field trials and gets regulatory approvals without unforeseen delays.</a:t>
          </a:r>
        </a:p>
        <a:p>
          <a:pPr algn="l" rtl="0">
            <a:defRPr sz="1000"/>
          </a:pPr>
          <a:r>
            <a:rPr lang="en-US" sz="1100" b="0" i="0" u="none" strike="noStrike" baseline="0">
              <a:solidFill>
                <a:srgbClr val="000000"/>
              </a:solidFill>
              <a:latin typeface="+mn-lt"/>
              <a:cs typeface="Arial"/>
            </a:rPr>
            <a:t>2. Australian farmers adopt it at the rate anticpated on the "Revenue" sheet.</a:t>
          </a:r>
        </a:p>
        <a:p>
          <a:pPr algn="l" rtl="0">
            <a:defRPr sz="1000"/>
          </a:pPr>
          <a:r>
            <a:rPr lang="en-US" sz="1100" b="0" i="0" u="none" strike="noStrike" baseline="0">
              <a:solidFill>
                <a:srgbClr val="000000"/>
              </a:solidFill>
              <a:latin typeface="+mn-lt"/>
              <a:cs typeface="Arial"/>
            </a:rPr>
            <a:t>3. No income from outside Australia.</a:t>
          </a:r>
        </a:p>
        <a:p>
          <a:pPr algn="l" rtl="0">
            <a:defRPr sz="1000"/>
          </a:pPr>
          <a:r>
            <a:rPr lang="en-US" sz="1100" b="0" i="0" u="none" strike="noStrike" baseline="0">
              <a:solidFill>
                <a:srgbClr val="000000"/>
              </a:solidFill>
              <a:latin typeface="+mn-lt"/>
              <a:cs typeface="Arial"/>
            </a:rPr>
            <a:t>4. Costs escalate at the same percentage each year, as new plant varieties  are discovered, trialled, patented, marketed, and sold.</a:t>
          </a:r>
        </a:p>
        <a:p>
          <a:pPr algn="l" rtl="0">
            <a:defRPr sz="1000"/>
          </a:pPr>
          <a:r>
            <a:rPr lang="en-US" sz="1100" b="0" i="0" u="none" strike="noStrike" baseline="0">
              <a:solidFill>
                <a:srgbClr val="000000"/>
              </a:solidFill>
              <a:latin typeface="+mn-lt"/>
              <a:cs typeface="Arial"/>
            </a:rPr>
            <a:t>5. GB is first to market, and has no significant competitor for AFP crops and HB4 distribution in Australia.</a:t>
          </a:r>
        </a:p>
        <a:p>
          <a:pPr algn="l" rtl="0">
            <a:defRPr sz="1000"/>
          </a:pPr>
          <a:r>
            <a:rPr lang="en-US" sz="1100" b="0" i="0" u="none" strike="noStrike" baseline="0">
              <a:solidFill>
                <a:srgbClr val="000000"/>
              </a:solidFill>
              <a:latin typeface="+mn-lt"/>
              <a:cs typeface="Arial"/>
            </a:rPr>
            <a:t>6. GB can get effective legal protection for its IP.</a:t>
          </a:r>
        </a:p>
        <a:p>
          <a:pPr algn="l" rtl="0">
            <a:defRPr sz="1000"/>
          </a:pPr>
          <a:r>
            <a:rPr lang="en-US" sz="1100" b="0" i="0" u="none" strike="noStrike" baseline="0">
              <a:solidFill>
                <a:srgbClr val="000000"/>
              </a:solidFill>
              <a:latin typeface="+mn-lt"/>
              <a:cs typeface="Arial"/>
            </a:rPr>
            <a:t>7. See the "Revenue" and "Costs" sheets for further assumptions.</a:t>
          </a:r>
        </a:p>
      </xdr:txBody>
    </xdr:sp>
    <xdr:clientData/>
  </xdr:twoCellAnchor>
  <xdr:twoCellAnchor editAs="oneCell">
    <xdr:from>
      <xdr:col>7</xdr:col>
      <xdr:colOff>390525</xdr:colOff>
      <xdr:row>16</xdr:row>
      <xdr:rowOff>47625</xdr:rowOff>
    </xdr:from>
    <xdr:to>
      <xdr:col>16</xdr:col>
      <xdr:colOff>590550</xdr:colOff>
      <xdr:row>37</xdr:row>
      <xdr:rowOff>152400</xdr:rowOff>
    </xdr:to>
    <xdr:graphicFrame macro="">
      <xdr:nvGraphicFramePr>
        <xdr:cNvPr id="5" name="Chart 4">
          <a:extLst>
            <a:ext uri="{FF2B5EF4-FFF2-40B4-BE49-F238E27FC236}">
              <a16:creationId xmlns:a16="http://schemas.microsoft.com/office/drawing/2014/main" id="{7B461D6F-E76E-483E-B417-2DBFCEF4134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342900</xdr:colOff>
      <xdr:row>40</xdr:row>
      <xdr:rowOff>28576</xdr:rowOff>
    </xdr:from>
    <xdr:to>
      <xdr:col>15</xdr:col>
      <xdr:colOff>561975</xdr:colOff>
      <xdr:row>55</xdr:row>
      <xdr:rowOff>9525</xdr:rowOff>
    </xdr:to>
    <xdr:sp macro="" textlink="">
      <xdr:nvSpPr>
        <xdr:cNvPr id="6" name="Text ClimateModels">
          <a:extLst>
            <a:ext uri="{FF2B5EF4-FFF2-40B4-BE49-F238E27FC236}">
              <a16:creationId xmlns:a16="http://schemas.microsoft.com/office/drawing/2014/main" id="{91FF39FE-520B-5DA8-9569-70987D551A64}"/>
            </a:ext>
          </a:extLst>
        </xdr:cNvPr>
        <xdr:cNvSpPr txBox="1">
          <a:spLocks noChangeArrowheads="1"/>
        </xdr:cNvSpPr>
      </xdr:nvSpPr>
      <xdr:spPr bwMode="auto">
        <a:xfrm>
          <a:off x="4924425" y="8010526"/>
          <a:ext cx="5353050" cy="2657474"/>
        </a:xfrm>
        <a:prstGeom prst="rect">
          <a:avLst/>
        </a:prstGeom>
        <a:solidFill>
          <a:srgbClr val="FFFFDD"/>
        </a:solidFill>
        <a:ln w="9525">
          <a:solidFill>
            <a:srgbClr val="000000"/>
          </a:solidFill>
          <a:miter lim="800000"/>
          <a:headEnd/>
          <a:tailEnd/>
        </a:ln>
      </xdr:spPr>
      <xdr:txBody>
        <a:bodyPr vertOverflow="clip" wrap="square" lIns="36576" tIns="27432" rIns="0" bIns="0" anchor="t"/>
        <a:lstStyle/>
        <a:p>
          <a:pPr algn="l" rtl="0">
            <a:defRPr sz="1000"/>
          </a:pPr>
          <a:r>
            <a:rPr lang="en-US" sz="1400" b="1" i="0" u="none" strike="noStrike" baseline="0">
              <a:solidFill>
                <a:srgbClr val="000000"/>
              </a:solidFill>
              <a:latin typeface="Calibri" panose="020F0502020204030204" pitchFamily="34" charset="0"/>
              <a:cs typeface="Calibri" panose="020F0502020204030204" pitchFamily="34" charset="0"/>
            </a:rPr>
            <a:t>Share Valuations</a:t>
          </a:r>
        </a:p>
        <a:p>
          <a:pPr algn="l" rtl="0">
            <a:defRPr sz="1000"/>
          </a:pPr>
          <a:endParaRPr lang="en-US" sz="1100" b="0" i="0" u="none" strike="noStrike" baseline="0">
            <a:solidFill>
              <a:srgbClr val="000000"/>
            </a:solidFill>
            <a:latin typeface="Calibri" panose="020F0502020204030204" pitchFamily="34" charset="0"/>
            <a:cs typeface="Calibri" panose="020F0502020204030204" pitchFamily="34" charset="0"/>
          </a:endParaRPr>
        </a:p>
        <a:p>
          <a:pPr algn="l" rtl="0">
            <a:defRPr sz="1000"/>
          </a:pPr>
          <a:r>
            <a:rPr lang="en-US" sz="1100" b="0" i="0" u="none" strike="noStrike" baseline="0">
              <a:solidFill>
                <a:srgbClr val="000000"/>
              </a:solidFill>
              <a:latin typeface="+mn-lt"/>
              <a:cs typeface="Arial"/>
            </a:rPr>
            <a:t>The share valuations are for the </a:t>
          </a:r>
          <a:r>
            <a:rPr lang="en-US" sz="1100" b="0" i="1" u="none" strike="noStrike" baseline="0">
              <a:solidFill>
                <a:srgbClr val="000000"/>
              </a:solidFill>
              <a:latin typeface="+mn-lt"/>
              <a:cs typeface="Arial"/>
            </a:rPr>
            <a:t>current</a:t>
          </a:r>
          <a:r>
            <a:rPr lang="en-US" sz="1100" b="0" i="0" u="none" strike="noStrike" baseline="0">
              <a:solidFill>
                <a:srgbClr val="000000"/>
              </a:solidFill>
              <a:latin typeface="+mn-lt"/>
              <a:cs typeface="Arial"/>
            </a:rPr>
            <a:t> value of a shares in GB, taking into account risk and future values. It can be compared with the current share price, which GB is selling shares at. The actual GB share value will likely be much higher as the future unfolds (if only due to the future discounting in the valuations here.).</a:t>
          </a:r>
        </a:p>
        <a:p>
          <a:pPr algn="l" rtl="0">
            <a:defRPr sz="1000"/>
          </a:pPr>
          <a:endParaRPr lang="en-US" sz="1100" b="0" i="0" u="none" strike="noStrike" baseline="0">
            <a:solidFill>
              <a:srgbClr val="000000"/>
            </a:solidFill>
            <a:latin typeface="+mn-lt"/>
            <a:cs typeface="Arial"/>
          </a:endParaRPr>
        </a:p>
        <a:p>
          <a:pPr algn="l" rtl="0">
            <a:defRPr sz="1000"/>
          </a:pPr>
          <a:r>
            <a:rPr lang="en-US" sz="1100" b="0" i="0" u="none" strike="noStrike" baseline="0">
              <a:solidFill>
                <a:srgbClr val="000000"/>
              </a:solidFill>
              <a:latin typeface="+mn-lt"/>
              <a:cs typeface="Arial"/>
            </a:rPr>
            <a:t>The three valuations here are very approximate, and very sensitive to certain assumptions (especially the "chances of acheiving earnings" -- this is the percentage of potential revenue taken into account in the valuation). But they will give you an idea of the effect of the assumptions on the "Revenue" and "Costs" sheets.</a:t>
          </a:r>
        </a:p>
        <a:p>
          <a:pPr algn="l" rtl="0">
            <a:defRPr sz="1000"/>
          </a:pPr>
          <a:endParaRPr lang="en-US" sz="1100" b="0" i="0" u="none" strike="noStrike" baseline="0">
            <a:solidFill>
              <a:srgbClr val="000000"/>
            </a:solidFill>
            <a:latin typeface="+mn-lt"/>
            <a:cs typeface="Arial"/>
          </a:endParaRPr>
        </a:p>
        <a:p>
          <a:pPr algn="l" rtl="0">
            <a:defRPr sz="1000"/>
          </a:pPr>
          <a:r>
            <a:rPr lang="en-US" sz="1100" b="0" i="0" u="none" strike="noStrike" baseline="0">
              <a:solidFill>
                <a:srgbClr val="000000"/>
              </a:solidFill>
              <a:latin typeface="+mn-lt"/>
              <a:cs typeface="Arial"/>
            </a:rPr>
            <a:t>I cannot stress enough: Nothing happens if we don't do it now. </a:t>
          </a:r>
          <a:r>
            <a:rPr lang="en-US" sz="1100" b="0" i="1" u="none" strike="noStrike" baseline="0">
              <a:solidFill>
                <a:srgbClr val="000000"/>
              </a:solidFill>
              <a:latin typeface="+mn-lt"/>
              <a:cs typeface="Arial"/>
            </a:rPr>
            <a:t>Be first to market, protect it legally, and promote it -- or it's worth nothing.</a:t>
          </a:r>
        </a:p>
      </xdr:txBody>
    </xdr:sp>
    <xdr:clientData/>
  </xdr:twoCellAnchor>
</xdr:wsDr>
</file>

<file path=xl/drawings/drawing13.xml><?xml version="1.0" encoding="utf-8"?>
<c:userShapes xmlns:c="http://schemas.openxmlformats.org/drawingml/2006/chart">
  <cdr:relSizeAnchor xmlns:cdr="http://schemas.openxmlformats.org/drawingml/2006/chartDrawing">
    <cdr:from>
      <cdr:x>0.97006</cdr:x>
      <cdr:y>0.69444</cdr:y>
    </cdr:from>
    <cdr:to>
      <cdr:x>0.98878</cdr:x>
      <cdr:y>0.93663</cdr:y>
    </cdr:to>
    <cdr:sp macro="" textlink="">
      <cdr:nvSpPr>
        <cdr:cNvPr id="7" name="TextBox 1">
          <a:extLst xmlns:a="http://schemas.openxmlformats.org/drawingml/2006/main">
            <a:ext uri="{FF2B5EF4-FFF2-40B4-BE49-F238E27FC236}">
              <a16:creationId xmlns:a16="http://schemas.microsoft.com/office/drawing/2014/main" id="{F3906F0D-AC08-4ADF-9B24-A33865579F17}"/>
            </a:ext>
          </a:extLst>
        </cdr:cNvPr>
        <cdr:cNvSpPr txBox="1"/>
      </cdr:nvSpPr>
      <cdr:spPr>
        <a:xfrm xmlns:a="http://schemas.openxmlformats.org/drawingml/2006/main" rot="-5400000">
          <a:off x="5323017" y="3300134"/>
          <a:ext cx="996545" cy="111278"/>
        </a:xfrm>
        <a:prstGeom xmlns:a="http://schemas.openxmlformats.org/drawingml/2006/main" prst="rect">
          <a:avLst/>
        </a:prstGeom>
        <a:solidFill xmlns:a="http://schemas.openxmlformats.org/drawingml/2006/main">
          <a:schemeClr val="bg1"/>
        </a:solidFill>
      </cdr:spPr>
      <cdr:txBody>
        <a:bodyPr xmlns:a="http://schemas.openxmlformats.org/drawingml/2006/main" wrap="none" lIns="0" tIns="0" rIns="0" bIns="0"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800">
              <a:solidFill>
                <a:schemeClr val="bg1">
                  <a:lumMod val="65000"/>
                </a:schemeClr>
              </a:solidFill>
            </a:rPr>
            <a:t>greenblueprint.com.au</a:t>
          </a:r>
        </a:p>
      </cdr:txBody>
    </cdr: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7.xml"/></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11.xml"/></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sheetPr>
  <dimension ref="A1:A14"/>
  <sheetViews>
    <sheetView tabSelected="1" workbookViewId="0">
      <selection activeCell="F55" sqref="F55"/>
    </sheetView>
  </sheetViews>
  <sheetFormatPr defaultColWidth="9.140625" defaultRowHeight="15" x14ac:dyDescent="0.25"/>
  <cols>
    <col min="1" max="1" width="11.140625" style="4" customWidth="1"/>
    <col min="2" max="2" width="12" style="4" customWidth="1"/>
    <col min="3" max="3" width="12.7109375" style="4" customWidth="1"/>
    <col min="4" max="4" width="12.85546875" style="4" customWidth="1"/>
    <col min="5" max="5" width="11.140625" style="4" customWidth="1"/>
    <col min="6" max="6" width="11.5703125" style="4" customWidth="1"/>
    <col min="7" max="7" width="11.42578125" style="4" customWidth="1"/>
    <col min="8" max="8" width="11.28515625" style="4" customWidth="1"/>
    <col min="9" max="10" width="9.5703125" style="4" customWidth="1"/>
    <col min="11" max="11" width="9.140625" style="4"/>
    <col min="12" max="12" width="10.42578125" style="4" customWidth="1"/>
    <col min="13" max="18" width="9.140625" style="4"/>
    <col min="19" max="19" width="13.42578125" style="4" customWidth="1"/>
    <col min="20" max="20" width="12.7109375" style="4" customWidth="1"/>
    <col min="21" max="21" width="12" style="4" customWidth="1"/>
    <col min="22" max="16384" width="9.140625" style="4"/>
  </cols>
  <sheetData>
    <row r="1" spans="1:1" s="5" customFormat="1" ht="26.25" x14ac:dyDescent="0.2">
      <c r="A1" s="12" t="s">
        <v>0</v>
      </c>
    </row>
    <row r="14" spans="1:1" ht="15.75" x14ac:dyDescent="0.25">
      <c r="A14" s="6"/>
    </row>
  </sheetData>
  <pageMargins left="0.75" right="0.75" top="1" bottom="1" header="0.5" footer="0.5"/>
  <pageSetup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18924F-094A-47F4-9973-72DCCC417BB7}">
  <sheetPr codeName="Sheet2">
    <tabColor theme="9" tint="-0.249977111117893"/>
  </sheetPr>
  <dimension ref="A1:AD163"/>
  <sheetViews>
    <sheetView workbookViewId="0">
      <selection activeCell="M42" sqref="M42"/>
    </sheetView>
  </sheetViews>
  <sheetFormatPr defaultRowHeight="15" x14ac:dyDescent="0.25"/>
  <cols>
    <col min="1" max="1" width="8" style="4" customWidth="1"/>
    <col min="2" max="2" width="10.5703125" style="4" customWidth="1"/>
    <col min="3" max="3" width="11.5703125" style="4" customWidth="1"/>
    <col min="4" max="4" width="10.42578125" style="4" customWidth="1"/>
    <col min="5" max="5" width="10.85546875" style="4" customWidth="1"/>
    <col min="6" max="7" width="10.5703125" style="4" customWidth="1"/>
    <col min="8" max="8" width="11" style="4" customWidth="1"/>
    <col min="9" max="9" width="11.140625" style="4" customWidth="1"/>
    <col min="10" max="16384" width="9.140625" style="4"/>
  </cols>
  <sheetData>
    <row r="1" spans="1:30" s="99" customFormat="1" ht="26.25" x14ac:dyDescent="0.2">
      <c r="A1" s="98" t="s">
        <v>3</v>
      </c>
    </row>
    <row r="2" spans="1:30" ht="9" customHeight="1" x14ac:dyDescent="0.25"/>
    <row r="3" spans="1:30" ht="15.75" x14ac:dyDescent="0.25">
      <c r="A3" s="6" t="s">
        <v>21</v>
      </c>
      <c r="V3" s="6" t="s">
        <v>13</v>
      </c>
    </row>
    <row r="4" spans="1:30" ht="45" x14ac:dyDescent="0.25">
      <c r="A4" s="10" t="s">
        <v>1</v>
      </c>
      <c r="B4" s="10" t="s">
        <v>2</v>
      </c>
      <c r="C4" s="10" t="s">
        <v>15</v>
      </c>
      <c r="D4" s="10" t="s">
        <v>16</v>
      </c>
      <c r="E4" s="10" t="s">
        <v>17</v>
      </c>
      <c r="F4" s="10" t="s">
        <v>18</v>
      </c>
      <c r="G4" s="10" t="s">
        <v>19</v>
      </c>
      <c r="H4" s="10" t="s">
        <v>20</v>
      </c>
      <c r="V4" s="25" t="s">
        <v>1</v>
      </c>
      <c r="W4" s="25" t="s">
        <v>4</v>
      </c>
      <c r="X4" s="25" t="s">
        <v>5</v>
      </c>
      <c r="Y4" s="25" t="s">
        <v>6</v>
      </c>
      <c r="Z4" s="25" t="s">
        <v>7</v>
      </c>
      <c r="AA4" s="25" t="s">
        <v>8</v>
      </c>
      <c r="AB4" s="25" t="s">
        <v>9</v>
      </c>
      <c r="AC4" s="25" t="s">
        <v>10</v>
      </c>
      <c r="AD4" s="25" t="s">
        <v>11</v>
      </c>
    </row>
    <row r="5" spans="1:30" ht="25.5" x14ac:dyDescent="0.25">
      <c r="A5" s="14">
        <v>2000</v>
      </c>
      <c r="B5" s="9">
        <v>9004</v>
      </c>
      <c r="C5" s="9">
        <v>8602</v>
      </c>
      <c r="D5" s="9">
        <v>2642</v>
      </c>
      <c r="E5" s="9">
        <v>1904</v>
      </c>
      <c r="F5" s="9">
        <v>2586</v>
      </c>
      <c r="G5" s="9">
        <v>20</v>
      </c>
      <c r="H5" s="15">
        <f xml:space="preserve"> SUM(B5:G5)</f>
        <v>24758</v>
      </c>
      <c r="V5" s="26"/>
      <c r="W5" s="27" t="s">
        <v>14</v>
      </c>
      <c r="X5" s="27" t="s">
        <v>14</v>
      </c>
      <c r="Y5" s="27" t="s">
        <v>14</v>
      </c>
      <c r="Z5" s="27" t="s">
        <v>14</v>
      </c>
      <c r="AA5" s="27" t="s">
        <v>14</v>
      </c>
      <c r="AB5" s="27" t="s">
        <v>14</v>
      </c>
      <c r="AC5" s="27" t="s">
        <v>14</v>
      </c>
      <c r="AD5" s="27" t="s">
        <v>14</v>
      </c>
    </row>
    <row r="6" spans="1:30" x14ac:dyDescent="0.25">
      <c r="A6" s="14">
        <v>2001</v>
      </c>
      <c r="B6" s="9">
        <v>5814</v>
      </c>
      <c r="C6" s="9">
        <v>7867</v>
      </c>
      <c r="D6" s="9">
        <v>3080</v>
      </c>
      <c r="E6" s="9">
        <v>1157</v>
      </c>
      <c r="F6" s="9">
        <v>4162</v>
      </c>
      <c r="G6" s="9">
        <v>26</v>
      </c>
      <c r="H6" s="15">
        <f t="shared" ref="H6:H26" si="0" xml:space="preserve"> SUM(B6:G6)</f>
        <v>22106</v>
      </c>
      <c r="V6" s="23">
        <v>2015</v>
      </c>
      <c r="W6" s="9">
        <v>9200</v>
      </c>
      <c r="X6" s="9">
        <v>3073</v>
      </c>
      <c r="Y6" s="9">
        <v>1543</v>
      </c>
      <c r="Z6" s="9">
        <v>513</v>
      </c>
      <c r="AA6" s="9">
        <v>452</v>
      </c>
      <c r="AB6" s="9">
        <v>35</v>
      </c>
      <c r="AC6" s="15">
        <f xml:space="preserve"> SUM(X6:AB6)</f>
        <v>5616</v>
      </c>
      <c r="AD6" s="15">
        <f xml:space="preserve"> W6 + AC6</f>
        <v>14816</v>
      </c>
    </row>
    <row r="7" spans="1:30" x14ac:dyDescent="0.25">
      <c r="A7" s="14">
        <v>2002</v>
      </c>
      <c r="B7" s="9">
        <v>7760</v>
      </c>
      <c r="C7" s="9">
        <v>8043</v>
      </c>
      <c r="D7" s="9">
        <v>2791</v>
      </c>
      <c r="E7" s="9">
        <v>901</v>
      </c>
      <c r="F7" s="9">
        <v>4778</v>
      </c>
      <c r="G7" s="9">
        <v>25</v>
      </c>
      <c r="H7" s="15">
        <f t="shared" si="0"/>
        <v>24298</v>
      </c>
      <c r="V7" s="23">
        <v>2016</v>
      </c>
      <c r="W7" s="9">
        <v>10165</v>
      </c>
      <c r="X7" s="9">
        <v>4167</v>
      </c>
      <c r="Y7" s="9">
        <v>2150</v>
      </c>
      <c r="Z7" s="9">
        <v>926</v>
      </c>
      <c r="AA7" s="9">
        <v>714</v>
      </c>
      <c r="AB7" s="9">
        <v>36</v>
      </c>
      <c r="AC7" s="15">
        <f t="shared" ref="AC7:AC13" si="1" xml:space="preserve"> SUM(X7:AB7)</f>
        <v>7993</v>
      </c>
      <c r="AD7" s="15">
        <f t="shared" ref="AD7:AD13" si="2" xml:space="preserve"> W7 + AC7</f>
        <v>18158</v>
      </c>
    </row>
    <row r="8" spans="1:30" x14ac:dyDescent="0.25">
      <c r="A8" s="14">
        <v>2003</v>
      </c>
      <c r="B8" s="9">
        <v>4047</v>
      </c>
      <c r="C8" s="9">
        <v>2497</v>
      </c>
      <c r="D8" s="9">
        <v>890</v>
      </c>
      <c r="E8" s="9">
        <v>601</v>
      </c>
      <c r="F8" s="9">
        <v>2072</v>
      </c>
      <c r="G8" s="9">
        <v>25</v>
      </c>
      <c r="H8" s="15">
        <f t="shared" si="0"/>
        <v>10132</v>
      </c>
      <c r="V8" s="23">
        <v>2017</v>
      </c>
      <c r="W8" s="9">
        <v>7600</v>
      </c>
      <c r="X8" s="9">
        <v>3800</v>
      </c>
      <c r="Y8" s="9">
        <v>1900</v>
      </c>
      <c r="Z8" s="9">
        <v>480</v>
      </c>
      <c r="AA8" s="9">
        <v>450</v>
      </c>
      <c r="AB8" s="9">
        <v>45</v>
      </c>
      <c r="AC8" s="15">
        <f t="shared" si="1"/>
        <v>6675</v>
      </c>
      <c r="AD8" s="15">
        <f t="shared" si="2"/>
        <v>14275</v>
      </c>
    </row>
    <row r="9" spans="1:30" x14ac:dyDescent="0.25">
      <c r="A9" s="14">
        <v>2004</v>
      </c>
      <c r="B9" s="9">
        <v>11070</v>
      </c>
      <c r="C9" s="9">
        <v>7290</v>
      </c>
      <c r="D9" s="9">
        <v>3145</v>
      </c>
      <c r="E9" s="9">
        <v>1110</v>
      </c>
      <c r="F9" s="9">
        <v>3490</v>
      </c>
      <c r="G9" s="9">
        <v>26</v>
      </c>
      <c r="H9" s="15">
        <f t="shared" si="0"/>
        <v>26131</v>
      </c>
      <c r="V9" s="23">
        <v>2018</v>
      </c>
      <c r="W9" s="9">
        <v>9690</v>
      </c>
      <c r="X9" s="9">
        <v>4315</v>
      </c>
      <c r="Y9" s="9">
        <v>1605</v>
      </c>
      <c r="Z9" s="9">
        <v>550</v>
      </c>
      <c r="AA9" s="9">
        <v>595</v>
      </c>
      <c r="AB9" s="9">
        <v>43</v>
      </c>
      <c r="AC9" s="15">
        <f t="shared" si="1"/>
        <v>7108</v>
      </c>
      <c r="AD9" s="15">
        <f t="shared" si="2"/>
        <v>16798</v>
      </c>
    </row>
    <row r="10" spans="1:30" x14ac:dyDescent="0.25">
      <c r="A10" s="14">
        <v>2005</v>
      </c>
      <c r="B10" s="9">
        <v>8619</v>
      </c>
      <c r="C10" s="9">
        <v>7537</v>
      </c>
      <c r="D10" s="9">
        <v>1927</v>
      </c>
      <c r="E10" s="9">
        <v>1170</v>
      </c>
      <c r="F10" s="9">
        <v>2621</v>
      </c>
      <c r="G10" s="9">
        <v>30</v>
      </c>
      <c r="H10" s="15">
        <f t="shared" si="0"/>
        <v>21904</v>
      </c>
      <c r="V10" s="23">
        <v>2019</v>
      </c>
      <c r="W10" s="9">
        <v>5380</v>
      </c>
      <c r="X10" s="9">
        <v>3980</v>
      </c>
      <c r="Y10" s="9">
        <v>1090</v>
      </c>
      <c r="Z10" s="9">
        <v>395</v>
      </c>
      <c r="AA10" s="9">
        <v>330</v>
      </c>
      <c r="AB10" s="9">
        <v>33</v>
      </c>
      <c r="AC10" s="15">
        <f t="shared" si="1"/>
        <v>5828</v>
      </c>
      <c r="AD10" s="15">
        <f t="shared" si="2"/>
        <v>11208</v>
      </c>
    </row>
    <row r="11" spans="1:30" x14ac:dyDescent="0.25">
      <c r="A11" s="14">
        <v>2006</v>
      </c>
      <c r="B11" s="9">
        <v>9088</v>
      </c>
      <c r="C11" s="9">
        <v>8049</v>
      </c>
      <c r="D11" s="9">
        <v>2909</v>
      </c>
      <c r="E11" s="9">
        <v>1218</v>
      </c>
      <c r="F11" s="9">
        <v>3853</v>
      </c>
      <c r="G11" s="9">
        <v>34</v>
      </c>
      <c r="H11" s="15">
        <f t="shared" si="0"/>
        <v>25151</v>
      </c>
      <c r="V11" s="23">
        <v>2020</v>
      </c>
      <c r="W11" s="9">
        <v>8900</v>
      </c>
      <c r="X11" s="9">
        <v>4200</v>
      </c>
      <c r="Y11" s="9">
        <v>1625</v>
      </c>
      <c r="Z11" s="9">
        <v>585</v>
      </c>
      <c r="AA11" s="9">
        <v>570</v>
      </c>
      <c r="AB11" s="9">
        <v>83</v>
      </c>
      <c r="AC11" s="15">
        <f t="shared" si="1"/>
        <v>7063</v>
      </c>
      <c r="AD11" s="15">
        <f t="shared" si="2"/>
        <v>15963</v>
      </c>
    </row>
    <row r="12" spans="1:30" x14ac:dyDescent="0.25">
      <c r="A12" s="14">
        <v>2007</v>
      </c>
      <c r="B12" s="9">
        <v>5134</v>
      </c>
      <c r="C12" s="9">
        <v>2568</v>
      </c>
      <c r="D12" s="9">
        <v>879</v>
      </c>
      <c r="E12" s="9">
        <v>777</v>
      </c>
      <c r="F12" s="9">
        <v>1446</v>
      </c>
      <c r="G12" s="9">
        <v>18</v>
      </c>
      <c r="H12" s="15">
        <f t="shared" si="0"/>
        <v>10822</v>
      </c>
      <c r="V12" s="23">
        <v>2021</v>
      </c>
      <c r="W12" s="9">
        <v>12890</v>
      </c>
      <c r="X12" s="9">
        <v>6370</v>
      </c>
      <c r="Y12" s="9">
        <v>3130</v>
      </c>
      <c r="Z12" s="9">
        <v>735</v>
      </c>
      <c r="AA12" s="9">
        <v>780</v>
      </c>
      <c r="AB12" s="9">
        <v>104</v>
      </c>
      <c r="AC12" s="15">
        <f t="shared" si="1"/>
        <v>11119</v>
      </c>
      <c r="AD12" s="15">
        <f t="shared" si="2"/>
        <v>24009</v>
      </c>
    </row>
    <row r="13" spans="1:30" x14ac:dyDescent="0.25">
      <c r="A13" s="14">
        <v>2008</v>
      </c>
      <c r="B13" s="9">
        <v>5820</v>
      </c>
      <c r="C13" s="9">
        <v>2477</v>
      </c>
      <c r="D13" s="9">
        <v>1995</v>
      </c>
      <c r="E13" s="9">
        <v>954</v>
      </c>
      <c r="F13" s="9">
        <v>2296</v>
      </c>
      <c r="G13" s="9">
        <v>27</v>
      </c>
      <c r="H13" s="15">
        <f t="shared" si="0"/>
        <v>13569</v>
      </c>
      <c r="V13" s="23">
        <v>2022</v>
      </c>
      <c r="W13" s="9">
        <v>12600</v>
      </c>
      <c r="X13" s="9">
        <v>6150</v>
      </c>
      <c r="Y13" s="9">
        <v>3980</v>
      </c>
      <c r="Z13" s="9">
        <v>565</v>
      </c>
      <c r="AA13" s="9">
        <v>600</v>
      </c>
      <c r="AB13" s="9">
        <v>72</v>
      </c>
      <c r="AC13" s="15">
        <f t="shared" si="1"/>
        <v>11367</v>
      </c>
      <c r="AD13" s="15">
        <f t="shared" si="2"/>
        <v>23967</v>
      </c>
    </row>
    <row r="14" spans="1:30" x14ac:dyDescent="0.25">
      <c r="A14" s="14">
        <v>2009</v>
      </c>
      <c r="B14" s="9">
        <v>8274</v>
      </c>
      <c r="C14" s="9">
        <v>6963</v>
      </c>
      <c r="D14" s="9">
        <v>1756</v>
      </c>
      <c r="E14" s="9">
        <v>2016</v>
      </c>
      <c r="F14" s="9">
        <v>2376</v>
      </c>
      <c r="G14" s="9">
        <v>35</v>
      </c>
      <c r="H14" s="15">
        <f t="shared" si="0"/>
        <v>21420</v>
      </c>
      <c r="V14" s="24" t="s">
        <v>12</v>
      </c>
      <c r="W14" s="16">
        <f xml:space="preserve"> AVERAGE(W6:W13)</f>
        <v>9553.125</v>
      </c>
      <c r="X14" s="16">
        <f t="shared" ref="X14:AB14" si="3" xml:space="preserve"> AVERAGE(X6:X13)</f>
        <v>4506.875</v>
      </c>
      <c r="Y14" s="16">
        <f t="shared" si="3"/>
        <v>2127.875</v>
      </c>
      <c r="Z14" s="16">
        <f t="shared" si="3"/>
        <v>593.625</v>
      </c>
      <c r="AA14" s="16">
        <f t="shared" si="3"/>
        <v>561.375</v>
      </c>
      <c r="AB14" s="16">
        <f t="shared" si="3"/>
        <v>56.375</v>
      </c>
      <c r="AC14" s="16">
        <f t="shared" ref="AC14" si="4" xml:space="preserve"> SUM(X14:AB14)</f>
        <v>7846.125</v>
      </c>
      <c r="AD14" s="16">
        <f t="shared" ref="AD14" si="5" xml:space="preserve"> W14 + AC14</f>
        <v>17399.25</v>
      </c>
    </row>
    <row r="15" spans="1:30" x14ac:dyDescent="0.25">
      <c r="A15" s="14">
        <v>2010</v>
      </c>
      <c r="B15" s="9">
        <v>8114</v>
      </c>
      <c r="C15" s="9">
        <v>5350</v>
      </c>
      <c r="D15" s="9">
        <v>2995</v>
      </c>
      <c r="E15" s="9">
        <v>1346</v>
      </c>
      <c r="F15" s="9">
        <v>4001</v>
      </c>
      <c r="G15" s="9">
        <v>27</v>
      </c>
      <c r="H15" s="15">
        <f t="shared" si="0"/>
        <v>21833</v>
      </c>
    </row>
    <row r="16" spans="1:30" x14ac:dyDescent="0.25">
      <c r="A16" s="14">
        <v>2011</v>
      </c>
      <c r="B16" s="9">
        <v>5005</v>
      </c>
      <c r="C16" s="9">
        <v>10488</v>
      </c>
      <c r="D16" s="9">
        <v>4412</v>
      </c>
      <c r="E16" s="9">
        <v>1524</v>
      </c>
      <c r="F16" s="9">
        <v>5949</v>
      </c>
      <c r="G16" s="9">
        <v>32</v>
      </c>
      <c r="H16" s="15">
        <f t="shared" si="0"/>
        <v>27410</v>
      </c>
    </row>
    <row r="17" spans="1:8" x14ac:dyDescent="0.25">
      <c r="A17" s="14">
        <v>2012</v>
      </c>
      <c r="B17" s="9">
        <v>11045</v>
      </c>
      <c r="C17" s="9">
        <v>8473</v>
      </c>
      <c r="D17" s="9">
        <v>3943</v>
      </c>
      <c r="E17" s="9">
        <v>1886</v>
      </c>
      <c r="F17" s="9">
        <v>4525</v>
      </c>
      <c r="G17" s="9">
        <v>32</v>
      </c>
      <c r="H17" s="15">
        <f t="shared" si="0"/>
        <v>29904</v>
      </c>
    </row>
    <row r="18" spans="1:8" x14ac:dyDescent="0.25">
      <c r="A18" s="14">
        <v>2013</v>
      </c>
      <c r="B18" s="9">
        <v>6645</v>
      </c>
      <c r="C18" s="9">
        <v>7081</v>
      </c>
      <c r="D18" s="9">
        <v>3460</v>
      </c>
      <c r="E18" s="9">
        <v>1528</v>
      </c>
      <c r="F18" s="9">
        <v>3715</v>
      </c>
      <c r="G18" s="9">
        <v>31</v>
      </c>
      <c r="H18" s="15">
        <f t="shared" si="0"/>
        <v>22460</v>
      </c>
    </row>
    <row r="19" spans="1:8" x14ac:dyDescent="0.25">
      <c r="A19" s="14">
        <v>2014</v>
      </c>
      <c r="B19" s="9">
        <v>9977</v>
      </c>
      <c r="C19" s="9">
        <v>6596</v>
      </c>
      <c r="D19" s="9">
        <v>3396</v>
      </c>
      <c r="E19" s="9">
        <v>1036</v>
      </c>
      <c r="F19" s="9">
        <v>4254</v>
      </c>
      <c r="G19" s="9">
        <v>43</v>
      </c>
      <c r="H19" s="15">
        <f t="shared" si="0"/>
        <v>25302</v>
      </c>
    </row>
    <row r="20" spans="1:8" x14ac:dyDescent="0.25">
      <c r="A20" s="14">
        <v>2015</v>
      </c>
      <c r="B20" s="9">
        <v>8824</v>
      </c>
      <c r="C20" s="9">
        <v>6654</v>
      </c>
      <c r="D20" s="9">
        <v>2631</v>
      </c>
      <c r="E20" s="9">
        <v>987</v>
      </c>
      <c r="F20" s="9">
        <v>4602</v>
      </c>
      <c r="G20" s="9">
        <v>44</v>
      </c>
      <c r="H20" s="15">
        <f t="shared" si="0"/>
        <v>23742</v>
      </c>
    </row>
    <row r="21" spans="1:8" x14ac:dyDescent="0.25">
      <c r="A21" s="14">
        <v>2016</v>
      </c>
      <c r="B21" s="9">
        <v>8511</v>
      </c>
      <c r="C21" s="9">
        <v>6898</v>
      </c>
      <c r="D21" s="9">
        <v>1815</v>
      </c>
      <c r="E21" s="9">
        <v>1316</v>
      </c>
      <c r="F21" s="9">
        <v>3679</v>
      </c>
      <c r="G21" s="9">
        <v>53</v>
      </c>
      <c r="H21" s="15">
        <f t="shared" si="0"/>
        <v>22272</v>
      </c>
    </row>
    <row r="22" spans="1:8" x14ac:dyDescent="0.25">
      <c r="A22" s="14">
        <v>2017</v>
      </c>
      <c r="B22" s="9">
        <v>9645</v>
      </c>
      <c r="C22" s="9">
        <v>9819</v>
      </c>
      <c r="D22" s="9">
        <v>4665</v>
      </c>
      <c r="E22" s="9">
        <v>1502</v>
      </c>
      <c r="F22" s="9">
        <v>6133</v>
      </c>
      <c r="G22" s="9">
        <v>56</v>
      </c>
      <c r="H22" s="15">
        <f t="shared" si="0"/>
        <v>31820</v>
      </c>
    </row>
    <row r="23" spans="1:8" x14ac:dyDescent="0.25">
      <c r="A23" s="14">
        <v>2018</v>
      </c>
      <c r="B23" s="9">
        <v>7699</v>
      </c>
      <c r="C23" s="9">
        <v>4703</v>
      </c>
      <c r="D23" s="9">
        <v>3682</v>
      </c>
      <c r="E23" s="9">
        <v>765</v>
      </c>
      <c r="F23" s="9">
        <v>4052</v>
      </c>
      <c r="G23" s="9">
        <v>0</v>
      </c>
      <c r="H23" s="15">
        <f t="shared" si="0"/>
        <v>20901</v>
      </c>
    </row>
    <row r="24" spans="1:8" x14ac:dyDescent="0.25">
      <c r="A24" s="14">
        <v>2019</v>
      </c>
      <c r="B24" s="9">
        <v>9979</v>
      </c>
      <c r="C24" s="9">
        <v>1850</v>
      </c>
      <c r="D24" s="9">
        <v>2277</v>
      </c>
      <c r="E24" s="9">
        <v>420</v>
      </c>
      <c r="F24" s="9">
        <v>3025</v>
      </c>
      <c r="G24" s="9">
        <v>0</v>
      </c>
      <c r="H24" s="15">
        <f t="shared" si="0"/>
        <v>17551</v>
      </c>
    </row>
    <row r="25" spans="1:8" x14ac:dyDescent="0.25">
      <c r="A25" s="14">
        <v>2020</v>
      </c>
      <c r="B25" s="9">
        <v>5842</v>
      </c>
      <c r="C25" s="9">
        <v>1772</v>
      </c>
      <c r="D25" s="9">
        <v>3714</v>
      </c>
      <c r="E25" s="9">
        <v>418</v>
      </c>
      <c r="F25" s="9">
        <v>2689</v>
      </c>
      <c r="G25" s="9">
        <v>44</v>
      </c>
      <c r="H25" s="15">
        <f t="shared" si="0"/>
        <v>14479</v>
      </c>
    </row>
    <row r="26" spans="1:8" x14ac:dyDescent="0.25">
      <c r="A26" s="14">
        <v>2021</v>
      </c>
      <c r="B26" s="9">
        <v>8793</v>
      </c>
      <c r="C26" s="9">
        <v>12972</v>
      </c>
      <c r="D26" s="9">
        <v>4525</v>
      </c>
      <c r="E26" s="9">
        <v>1594</v>
      </c>
      <c r="F26" s="9">
        <v>3982</v>
      </c>
      <c r="G26" s="9">
        <v>56</v>
      </c>
      <c r="H26" s="15">
        <f t="shared" si="0"/>
        <v>31922</v>
      </c>
    </row>
    <row r="27" spans="1:8" x14ac:dyDescent="0.25">
      <c r="A27" s="14">
        <v>2022</v>
      </c>
      <c r="B27" s="9">
        <v>12600</v>
      </c>
      <c r="C27" s="9"/>
      <c r="D27" s="9"/>
      <c r="E27" s="9"/>
      <c r="F27" s="9"/>
      <c r="G27" s="9"/>
      <c r="H27" s="15"/>
    </row>
    <row r="28" spans="1:8" x14ac:dyDescent="0.25">
      <c r="A28" s="17" t="s">
        <v>22</v>
      </c>
      <c r="B28" s="16">
        <f xml:space="preserve"> AVERAGE(B18:B27)</f>
        <v>8851.5</v>
      </c>
      <c r="C28" s="16">
        <f t="shared" ref="C28:H28" si="6" xml:space="preserve"> AVERAGE(C17:C26)</f>
        <v>6681.8</v>
      </c>
      <c r="D28" s="16">
        <f t="shared" si="6"/>
        <v>3410.8</v>
      </c>
      <c r="E28" s="16">
        <f t="shared" si="6"/>
        <v>1145.2</v>
      </c>
      <c r="F28" s="16">
        <f t="shared" si="6"/>
        <v>4065.6</v>
      </c>
      <c r="G28" s="16">
        <f t="shared" si="6"/>
        <v>35.9</v>
      </c>
      <c r="H28" s="16">
        <f t="shared" si="6"/>
        <v>24035.3</v>
      </c>
    </row>
    <row r="30" spans="1:8" ht="15.75" x14ac:dyDescent="0.25">
      <c r="A30" s="6" t="s">
        <v>24</v>
      </c>
    </row>
    <row r="31" spans="1:8" ht="30" x14ac:dyDescent="0.25">
      <c r="A31" s="10" t="s">
        <v>1</v>
      </c>
      <c r="B31" s="10" t="s">
        <v>2</v>
      </c>
      <c r="C31" s="10" t="s">
        <v>15</v>
      </c>
      <c r="D31" s="10" t="s">
        <v>16</v>
      </c>
      <c r="E31" s="10" t="s">
        <v>17</v>
      </c>
      <c r="F31" s="10" t="s">
        <v>18</v>
      </c>
      <c r="G31" s="10" t="s">
        <v>19</v>
      </c>
      <c r="H31" s="10" t="s">
        <v>20</v>
      </c>
    </row>
    <row r="32" spans="1:8" x14ac:dyDescent="0.25">
      <c r="A32" s="14">
        <v>2000</v>
      </c>
      <c r="B32" s="9">
        <v>4556</v>
      </c>
      <c r="C32" s="9">
        <v>3425</v>
      </c>
      <c r="D32" s="9">
        <v>1235</v>
      </c>
      <c r="E32" s="9">
        <v>1096</v>
      </c>
      <c r="F32" s="9">
        <v>1850</v>
      </c>
      <c r="G32" s="9">
        <v>6</v>
      </c>
      <c r="H32" s="15">
        <f xml:space="preserve"> SUM(B32:G32)</f>
        <v>12168</v>
      </c>
    </row>
    <row r="33" spans="1:8" x14ac:dyDescent="0.25">
      <c r="A33" s="14">
        <v>2001</v>
      </c>
      <c r="B33" s="9">
        <v>4460</v>
      </c>
      <c r="C33" s="9">
        <v>3671</v>
      </c>
      <c r="D33" s="9">
        <v>1143</v>
      </c>
      <c r="E33" s="9">
        <v>885</v>
      </c>
      <c r="F33" s="9">
        <v>1976</v>
      </c>
      <c r="G33" s="9">
        <v>7</v>
      </c>
      <c r="H33" s="15">
        <f t="shared" ref="H33:H53" si="7" xml:space="preserve"> SUM(B33:G33)</f>
        <v>12142</v>
      </c>
    </row>
    <row r="34" spans="1:8" x14ac:dyDescent="0.25">
      <c r="A34" s="14">
        <v>2002</v>
      </c>
      <c r="B34" s="9">
        <v>4350</v>
      </c>
      <c r="C34" s="9">
        <v>3446</v>
      </c>
      <c r="D34" s="9">
        <v>1136</v>
      </c>
      <c r="E34" s="9">
        <v>604</v>
      </c>
      <c r="F34" s="9">
        <v>1987</v>
      </c>
      <c r="G34" s="9">
        <v>6</v>
      </c>
      <c r="H34" s="15">
        <f t="shared" si="7"/>
        <v>11529</v>
      </c>
    </row>
    <row r="35" spans="1:8" x14ac:dyDescent="0.25">
      <c r="A35" s="14">
        <v>2003</v>
      </c>
      <c r="B35" s="9">
        <v>4458</v>
      </c>
      <c r="C35" s="9">
        <v>2995</v>
      </c>
      <c r="D35" s="9">
        <v>1239</v>
      </c>
      <c r="E35" s="9">
        <v>514</v>
      </c>
      <c r="F35" s="9">
        <v>1957</v>
      </c>
      <c r="G35" s="9">
        <v>7</v>
      </c>
      <c r="H35" s="15">
        <f t="shared" si="7"/>
        <v>11170</v>
      </c>
    </row>
    <row r="36" spans="1:8" x14ac:dyDescent="0.25">
      <c r="A36" s="14">
        <v>2004</v>
      </c>
      <c r="B36" s="9">
        <v>4917</v>
      </c>
      <c r="C36" s="9">
        <v>3984</v>
      </c>
      <c r="D36" s="9">
        <v>1409</v>
      </c>
      <c r="E36" s="9">
        <v>790</v>
      </c>
      <c r="F36" s="9">
        <v>1960</v>
      </c>
      <c r="G36" s="9">
        <v>8</v>
      </c>
      <c r="H36" s="15">
        <f t="shared" si="7"/>
        <v>13068</v>
      </c>
    </row>
    <row r="37" spans="1:8" x14ac:dyDescent="0.25">
      <c r="A37" s="14">
        <v>2005</v>
      </c>
      <c r="B37" s="9">
        <v>5118</v>
      </c>
      <c r="C37" s="9">
        <v>4256</v>
      </c>
      <c r="D37" s="9">
        <v>1327</v>
      </c>
      <c r="E37" s="9">
        <v>711</v>
      </c>
      <c r="F37" s="9">
        <v>1979</v>
      </c>
      <c r="G37" s="9">
        <v>7</v>
      </c>
      <c r="H37" s="15">
        <f t="shared" si="7"/>
        <v>13398</v>
      </c>
    </row>
    <row r="38" spans="1:8" x14ac:dyDescent="0.25">
      <c r="A38" s="14">
        <v>2006</v>
      </c>
      <c r="B38" s="9">
        <v>4753</v>
      </c>
      <c r="C38" s="9">
        <v>3554</v>
      </c>
      <c r="D38" s="9">
        <v>1315</v>
      </c>
      <c r="E38" s="9">
        <v>778</v>
      </c>
      <c r="F38" s="9">
        <v>2035</v>
      </c>
      <c r="G38" s="9">
        <v>8</v>
      </c>
      <c r="H38" s="15">
        <f t="shared" si="7"/>
        <v>12443</v>
      </c>
    </row>
    <row r="39" spans="1:8" x14ac:dyDescent="0.25">
      <c r="A39" s="14">
        <v>2007</v>
      </c>
      <c r="B39" s="9">
        <v>4037</v>
      </c>
      <c r="C39" s="9">
        <v>3596</v>
      </c>
      <c r="D39" s="9">
        <v>1347</v>
      </c>
      <c r="E39" s="9">
        <v>638</v>
      </c>
      <c r="F39" s="9">
        <v>2173</v>
      </c>
      <c r="G39" s="9">
        <v>7</v>
      </c>
      <c r="H39" s="15">
        <f t="shared" si="7"/>
        <v>11798</v>
      </c>
    </row>
    <row r="40" spans="1:8" x14ac:dyDescent="0.25">
      <c r="A40" s="14">
        <v>2008</v>
      </c>
      <c r="B40" s="9">
        <v>4258</v>
      </c>
      <c r="C40" s="9">
        <v>4009</v>
      </c>
      <c r="D40" s="9">
        <v>1514</v>
      </c>
      <c r="E40" s="9">
        <v>669</v>
      </c>
      <c r="F40" s="9">
        <v>2121</v>
      </c>
      <c r="G40" s="9">
        <v>7</v>
      </c>
      <c r="H40" s="15">
        <f t="shared" si="7"/>
        <v>12578</v>
      </c>
    </row>
    <row r="41" spans="1:8" x14ac:dyDescent="0.25">
      <c r="A41" s="14">
        <v>2009</v>
      </c>
      <c r="B41" s="9">
        <v>4542</v>
      </c>
      <c r="C41" s="9">
        <v>4322</v>
      </c>
      <c r="D41" s="9">
        <v>1534</v>
      </c>
      <c r="E41" s="9">
        <v>1020</v>
      </c>
      <c r="F41" s="9">
        <v>2104</v>
      </c>
      <c r="G41" s="9">
        <v>9</v>
      </c>
      <c r="H41" s="15">
        <f t="shared" si="7"/>
        <v>13531</v>
      </c>
    </row>
    <row r="42" spans="1:8" x14ac:dyDescent="0.25">
      <c r="A42" s="14">
        <v>2010</v>
      </c>
      <c r="B42" s="9">
        <v>5001</v>
      </c>
      <c r="C42" s="9">
        <v>4098</v>
      </c>
      <c r="D42" s="9">
        <v>1793</v>
      </c>
      <c r="E42" s="9">
        <v>984</v>
      </c>
      <c r="F42" s="9">
        <v>2148</v>
      </c>
      <c r="G42" s="9">
        <v>7</v>
      </c>
      <c r="H42" s="15">
        <f t="shared" si="7"/>
        <v>14031</v>
      </c>
    </row>
    <row r="43" spans="1:8" x14ac:dyDescent="0.25">
      <c r="A43" s="14">
        <v>2011</v>
      </c>
      <c r="B43" s="9">
        <v>4640</v>
      </c>
      <c r="C43" s="9">
        <v>3815</v>
      </c>
      <c r="D43" s="9">
        <v>1793</v>
      </c>
      <c r="E43" s="9">
        <v>905</v>
      </c>
      <c r="F43" s="9">
        <v>2341</v>
      </c>
      <c r="G43" s="9">
        <v>8</v>
      </c>
      <c r="H43" s="15">
        <f t="shared" si="7"/>
        <v>13502</v>
      </c>
    </row>
    <row r="44" spans="1:8" x14ac:dyDescent="0.25">
      <c r="A44" s="14">
        <v>2012</v>
      </c>
      <c r="B44" s="9">
        <v>5156</v>
      </c>
      <c r="C44" s="9">
        <v>3869</v>
      </c>
      <c r="D44" s="9">
        <v>1669</v>
      </c>
      <c r="E44" s="9">
        <v>953</v>
      </c>
      <c r="F44" s="9">
        <v>2249</v>
      </c>
      <c r="G44" s="9">
        <v>7</v>
      </c>
      <c r="H44" s="15">
        <f t="shared" si="7"/>
        <v>13903</v>
      </c>
    </row>
    <row r="45" spans="1:8" x14ac:dyDescent="0.25">
      <c r="A45" s="14">
        <v>2013</v>
      </c>
      <c r="B45" s="9">
        <v>4875</v>
      </c>
      <c r="C45" s="9">
        <v>3367</v>
      </c>
      <c r="D45" s="9">
        <v>1577</v>
      </c>
      <c r="E45" s="9">
        <v>851</v>
      </c>
      <c r="F45" s="9">
        <v>2096</v>
      </c>
      <c r="G45" s="9">
        <v>6</v>
      </c>
      <c r="H45" s="15">
        <f t="shared" si="7"/>
        <v>12772</v>
      </c>
    </row>
    <row r="46" spans="1:8" x14ac:dyDescent="0.25">
      <c r="A46" s="14">
        <v>2014</v>
      </c>
      <c r="B46" s="9">
        <v>5115</v>
      </c>
      <c r="C46" s="9">
        <v>3270</v>
      </c>
      <c r="D46" s="9">
        <v>1536</v>
      </c>
      <c r="E46" s="9">
        <v>758</v>
      </c>
      <c r="F46" s="9">
        <v>1927</v>
      </c>
      <c r="G46" s="9">
        <v>8</v>
      </c>
      <c r="H46" s="15">
        <f t="shared" si="7"/>
        <v>12614</v>
      </c>
    </row>
    <row r="47" spans="1:8" x14ac:dyDescent="0.25">
      <c r="A47" s="14">
        <v>2015</v>
      </c>
      <c r="B47" s="9">
        <v>5071</v>
      </c>
      <c r="C47" s="9">
        <v>3088</v>
      </c>
      <c r="D47" s="9">
        <v>1431</v>
      </c>
      <c r="E47" s="9">
        <v>670</v>
      </c>
      <c r="F47" s="9">
        <v>1886</v>
      </c>
      <c r="G47" s="9">
        <v>8</v>
      </c>
      <c r="H47" s="15">
        <f t="shared" si="7"/>
        <v>12154</v>
      </c>
    </row>
    <row r="48" spans="1:8" x14ac:dyDescent="0.25">
      <c r="A48" s="14">
        <v>2016</v>
      </c>
      <c r="B48" s="9">
        <v>4616</v>
      </c>
      <c r="C48" s="9">
        <v>2933</v>
      </c>
      <c r="D48" s="9">
        <v>1342</v>
      </c>
      <c r="E48" s="9">
        <v>611</v>
      </c>
      <c r="F48" s="9">
        <v>1770</v>
      </c>
      <c r="G48" s="9">
        <v>11</v>
      </c>
      <c r="H48" s="15">
        <f t="shared" si="7"/>
        <v>11283</v>
      </c>
    </row>
    <row r="49" spans="1:8" x14ac:dyDescent="0.25">
      <c r="A49" s="14">
        <v>2017</v>
      </c>
      <c r="B49" s="9">
        <v>4678</v>
      </c>
      <c r="C49" s="9">
        <v>3248</v>
      </c>
      <c r="D49" s="9">
        <v>1454</v>
      </c>
      <c r="E49" s="9">
        <v>622</v>
      </c>
      <c r="F49" s="9">
        <v>2178</v>
      </c>
      <c r="G49" s="9">
        <v>10</v>
      </c>
      <c r="H49" s="15">
        <f t="shared" si="7"/>
        <v>12190</v>
      </c>
    </row>
    <row r="50" spans="1:8" x14ac:dyDescent="0.25">
      <c r="A50" s="14">
        <v>2018</v>
      </c>
      <c r="B50" s="9">
        <v>4057</v>
      </c>
      <c r="C50" s="9">
        <v>2793</v>
      </c>
      <c r="D50" s="9">
        <v>1447</v>
      </c>
      <c r="E50" s="9">
        <v>639</v>
      </c>
      <c r="F50" s="9">
        <v>1976</v>
      </c>
      <c r="G50" s="9">
        <v>0</v>
      </c>
      <c r="H50" s="15">
        <f t="shared" si="7"/>
        <v>10912</v>
      </c>
    </row>
    <row r="51" spans="1:8" x14ac:dyDescent="0.25">
      <c r="A51" s="14">
        <v>2019</v>
      </c>
      <c r="B51" s="9">
        <v>4369</v>
      </c>
      <c r="C51" s="9">
        <v>2382</v>
      </c>
      <c r="D51" s="9">
        <v>1403</v>
      </c>
      <c r="E51" s="9">
        <v>420</v>
      </c>
      <c r="F51" s="9">
        <v>1821</v>
      </c>
      <c r="G51" s="9">
        <v>0</v>
      </c>
      <c r="H51" s="15">
        <f t="shared" si="7"/>
        <v>10395</v>
      </c>
    </row>
    <row r="52" spans="1:8" x14ac:dyDescent="0.25">
      <c r="A52" s="14">
        <v>2020</v>
      </c>
      <c r="B52" s="9">
        <v>4132.7</v>
      </c>
      <c r="C52" s="9">
        <v>2132</v>
      </c>
      <c r="D52" s="9">
        <v>1429</v>
      </c>
      <c r="E52" s="9">
        <v>441</v>
      </c>
      <c r="F52" s="9">
        <v>1721</v>
      </c>
      <c r="G52" s="9">
        <v>7.2</v>
      </c>
      <c r="H52" s="15">
        <f t="shared" si="7"/>
        <v>9862.9000000000015</v>
      </c>
    </row>
    <row r="53" spans="1:8" x14ac:dyDescent="0.25">
      <c r="A53" s="14">
        <v>2021</v>
      </c>
      <c r="B53" s="9">
        <v>4388</v>
      </c>
      <c r="C53" s="9">
        <v>4037</v>
      </c>
      <c r="D53" s="9">
        <v>1413</v>
      </c>
      <c r="E53" s="9">
        <v>966</v>
      </c>
      <c r="F53" s="9">
        <v>1831</v>
      </c>
      <c r="G53" s="9">
        <v>8.1999999999999993</v>
      </c>
      <c r="H53" s="15">
        <f t="shared" si="7"/>
        <v>12643.2</v>
      </c>
    </row>
    <row r="54" spans="1:8" x14ac:dyDescent="0.25">
      <c r="A54" s="14">
        <v>2022</v>
      </c>
      <c r="B54" s="9">
        <v>4950</v>
      </c>
      <c r="C54" s="9"/>
      <c r="D54" s="9"/>
      <c r="E54" s="9"/>
      <c r="F54" s="9"/>
      <c r="G54" s="9"/>
      <c r="H54" s="15"/>
    </row>
    <row r="55" spans="1:8" x14ac:dyDescent="0.25">
      <c r="A55" s="17" t="s">
        <v>22</v>
      </c>
      <c r="B55" s="16">
        <f xml:space="preserve"> AVERAGE(B45:B54)</f>
        <v>4625.17</v>
      </c>
      <c r="C55" s="16">
        <f t="shared" ref="C55:H55" si="8" xml:space="preserve"> AVERAGE(C44:C53)</f>
        <v>3111.9</v>
      </c>
      <c r="D55" s="16">
        <f t="shared" si="8"/>
        <v>1470.1</v>
      </c>
      <c r="E55" s="16">
        <f t="shared" si="8"/>
        <v>693.1</v>
      </c>
      <c r="F55" s="16">
        <f t="shared" si="8"/>
        <v>1945.5</v>
      </c>
      <c r="G55" s="16">
        <f t="shared" si="8"/>
        <v>6.5400000000000009</v>
      </c>
      <c r="H55" s="16">
        <f t="shared" si="8"/>
        <v>11872.91</v>
      </c>
    </row>
    <row r="57" spans="1:8" ht="15.75" x14ac:dyDescent="0.25">
      <c r="A57" s="6" t="s">
        <v>26</v>
      </c>
    </row>
    <row r="58" spans="1:8" ht="30" x14ac:dyDescent="0.25">
      <c r="A58" s="10" t="s">
        <v>1</v>
      </c>
      <c r="B58" s="10" t="s">
        <v>2</v>
      </c>
      <c r="C58" s="10" t="s">
        <v>15</v>
      </c>
      <c r="D58" s="10" t="s">
        <v>16</v>
      </c>
      <c r="E58" s="10" t="s">
        <v>17</v>
      </c>
      <c r="F58" s="10" t="s">
        <v>18</v>
      </c>
      <c r="G58" s="10" t="s">
        <v>19</v>
      </c>
      <c r="H58" s="10" t="s">
        <v>20</v>
      </c>
    </row>
    <row r="59" spans="1:8" x14ac:dyDescent="0.25">
      <c r="A59" s="14">
        <v>2000</v>
      </c>
      <c r="B59" s="21">
        <f xml:space="preserve"> B5 / B32</f>
        <v>1.9762949956101843</v>
      </c>
      <c r="C59" s="21">
        <f t="shared" ref="C59:G59" si="9" xml:space="preserve"> C5 / C32</f>
        <v>2.5115328467153284</v>
      </c>
      <c r="D59" s="21">
        <f t="shared" si="9"/>
        <v>2.1392712550607289</v>
      </c>
      <c r="E59" s="21">
        <f t="shared" si="9"/>
        <v>1.7372262773722629</v>
      </c>
      <c r="F59" s="21">
        <f t="shared" si="9"/>
        <v>1.3978378378378378</v>
      </c>
      <c r="G59" s="21">
        <f t="shared" si="9"/>
        <v>3.3333333333333335</v>
      </c>
      <c r="H59" s="21">
        <f xml:space="preserve"> AVERAGE(B59:G59)</f>
        <v>2.1825827576549459</v>
      </c>
    </row>
    <row r="60" spans="1:8" x14ac:dyDescent="0.25">
      <c r="A60" s="14">
        <v>2001</v>
      </c>
      <c r="B60" s="21">
        <f t="shared" ref="B60:G60" si="10" xml:space="preserve"> B6 / B33</f>
        <v>1.3035874439461883</v>
      </c>
      <c r="C60" s="21">
        <f t="shared" si="10"/>
        <v>2.1430128030509397</v>
      </c>
      <c r="D60" s="21">
        <f t="shared" si="10"/>
        <v>2.6946631671041121</v>
      </c>
      <c r="E60" s="21">
        <f t="shared" si="10"/>
        <v>1.3073446327683615</v>
      </c>
      <c r="F60" s="21">
        <f t="shared" si="10"/>
        <v>2.1062753036437245</v>
      </c>
      <c r="G60" s="21">
        <f t="shared" si="10"/>
        <v>3.7142857142857144</v>
      </c>
      <c r="H60" s="21">
        <f t="shared" ref="H60:H80" si="11" xml:space="preserve"> AVERAGE(B60:G60)</f>
        <v>2.2115281774665068</v>
      </c>
    </row>
    <row r="61" spans="1:8" x14ac:dyDescent="0.25">
      <c r="A61" s="14">
        <v>2002</v>
      </c>
      <c r="B61" s="21">
        <f t="shared" ref="B61:G61" si="12" xml:space="preserve"> B7 / B34</f>
        <v>1.7839080459770116</v>
      </c>
      <c r="C61" s="21">
        <f t="shared" si="12"/>
        <v>2.3340104468949505</v>
      </c>
      <c r="D61" s="21">
        <f t="shared" si="12"/>
        <v>2.4568661971830985</v>
      </c>
      <c r="E61" s="21">
        <f t="shared" si="12"/>
        <v>1.4917218543046358</v>
      </c>
      <c r="F61" s="21">
        <f t="shared" si="12"/>
        <v>2.4046300956215401</v>
      </c>
      <c r="G61" s="21">
        <f t="shared" si="12"/>
        <v>4.166666666666667</v>
      </c>
      <c r="H61" s="21">
        <f t="shared" si="11"/>
        <v>2.4396338844413172</v>
      </c>
    </row>
    <row r="62" spans="1:8" x14ac:dyDescent="0.25">
      <c r="A62" s="14">
        <v>2003</v>
      </c>
      <c r="B62" s="21">
        <f t="shared" ref="B62:G62" si="13" xml:space="preserve"> B8 / B35</f>
        <v>0.90780619111709282</v>
      </c>
      <c r="C62" s="21">
        <f t="shared" si="13"/>
        <v>0.83372287145242074</v>
      </c>
      <c r="D62" s="21">
        <f t="shared" si="13"/>
        <v>0.71832122679580301</v>
      </c>
      <c r="E62" s="21">
        <f t="shared" si="13"/>
        <v>1.1692607003891051</v>
      </c>
      <c r="F62" s="21">
        <f t="shared" si="13"/>
        <v>1.0587634133878385</v>
      </c>
      <c r="G62" s="21">
        <f t="shared" si="13"/>
        <v>3.5714285714285716</v>
      </c>
      <c r="H62" s="21">
        <f t="shared" si="11"/>
        <v>1.3765504957618051</v>
      </c>
    </row>
    <row r="63" spans="1:8" x14ac:dyDescent="0.25">
      <c r="A63" s="14">
        <v>2004</v>
      </c>
      <c r="B63" s="21">
        <f t="shared" ref="B63:G63" si="14" xml:space="preserve"> B9 / B36</f>
        <v>2.2513727882855399</v>
      </c>
      <c r="C63" s="21">
        <f t="shared" si="14"/>
        <v>1.8298192771084338</v>
      </c>
      <c r="D63" s="21">
        <f t="shared" si="14"/>
        <v>2.2320794889992901</v>
      </c>
      <c r="E63" s="21">
        <f t="shared" si="14"/>
        <v>1.4050632911392404</v>
      </c>
      <c r="F63" s="21">
        <f t="shared" si="14"/>
        <v>1.7806122448979591</v>
      </c>
      <c r="G63" s="21">
        <f t="shared" si="14"/>
        <v>3.25</v>
      </c>
      <c r="H63" s="21">
        <f t="shared" si="11"/>
        <v>2.1248245150717442</v>
      </c>
    </row>
    <row r="64" spans="1:8" x14ac:dyDescent="0.25">
      <c r="A64" s="14">
        <v>2005</v>
      </c>
      <c r="B64" s="21">
        <f t="shared" ref="B64:G64" si="15" xml:space="preserve"> B10 / B37</f>
        <v>1.6840562719812426</v>
      </c>
      <c r="C64" s="21">
        <f t="shared" si="15"/>
        <v>1.7709116541353382</v>
      </c>
      <c r="D64" s="21">
        <f t="shared" si="15"/>
        <v>1.452147701582517</v>
      </c>
      <c r="E64" s="21">
        <f t="shared" si="15"/>
        <v>1.6455696202531647</v>
      </c>
      <c r="F64" s="21">
        <f t="shared" si="15"/>
        <v>1.3244062657908033</v>
      </c>
      <c r="G64" s="21">
        <f t="shared" si="15"/>
        <v>4.2857142857142856</v>
      </c>
      <c r="H64" s="21">
        <f t="shared" si="11"/>
        <v>2.0271342999095583</v>
      </c>
    </row>
    <row r="65" spans="1:8" x14ac:dyDescent="0.25">
      <c r="A65" s="14">
        <v>2006</v>
      </c>
      <c r="B65" s="21">
        <f t="shared" ref="B65:G65" si="16" xml:space="preserve"> B11 / B38</f>
        <v>1.9120555438670312</v>
      </c>
      <c r="C65" s="21">
        <f t="shared" si="16"/>
        <v>2.2647720877884074</v>
      </c>
      <c r="D65" s="21">
        <f t="shared" si="16"/>
        <v>2.2121673003802282</v>
      </c>
      <c r="E65" s="21">
        <f t="shared" si="16"/>
        <v>1.5655526992287918</v>
      </c>
      <c r="F65" s="21">
        <f t="shared" si="16"/>
        <v>1.8933660933660934</v>
      </c>
      <c r="G65" s="21">
        <f t="shared" si="16"/>
        <v>4.25</v>
      </c>
      <c r="H65" s="21">
        <f t="shared" si="11"/>
        <v>2.3496522874384254</v>
      </c>
    </row>
    <row r="66" spans="1:8" x14ac:dyDescent="0.25">
      <c r="A66" s="14">
        <v>2007</v>
      </c>
      <c r="B66" s="21">
        <f t="shared" ref="B66:G66" si="17" xml:space="preserve"> B12 / B39</f>
        <v>1.271736437948972</v>
      </c>
      <c r="C66" s="21">
        <f t="shared" si="17"/>
        <v>0.71412680756395996</v>
      </c>
      <c r="D66" s="21">
        <f t="shared" si="17"/>
        <v>0.65256124721603559</v>
      </c>
      <c r="E66" s="21">
        <f t="shared" si="17"/>
        <v>1.2178683385579938</v>
      </c>
      <c r="F66" s="21">
        <f t="shared" si="17"/>
        <v>0.66543948458352509</v>
      </c>
      <c r="G66" s="21">
        <f t="shared" si="17"/>
        <v>2.5714285714285716</v>
      </c>
      <c r="H66" s="21">
        <f t="shared" si="11"/>
        <v>1.1821934812165098</v>
      </c>
    </row>
    <row r="67" spans="1:8" x14ac:dyDescent="0.25">
      <c r="A67" s="14">
        <v>2008</v>
      </c>
      <c r="B67" s="21">
        <f t="shared" ref="B67:G67" si="18" xml:space="preserve"> B13 / B40</f>
        <v>1.366838891498356</v>
      </c>
      <c r="C67" s="21">
        <f t="shared" si="18"/>
        <v>0.61785981541531554</v>
      </c>
      <c r="D67" s="21">
        <f t="shared" si="18"/>
        <v>1.3177014531043594</v>
      </c>
      <c r="E67" s="21">
        <f t="shared" si="18"/>
        <v>1.4260089686098654</v>
      </c>
      <c r="F67" s="21">
        <f t="shared" si="18"/>
        <v>1.0825082508250825</v>
      </c>
      <c r="G67" s="21">
        <f t="shared" si="18"/>
        <v>3.8571428571428572</v>
      </c>
      <c r="H67" s="21">
        <f t="shared" si="11"/>
        <v>1.6113433727659725</v>
      </c>
    </row>
    <row r="68" spans="1:8" x14ac:dyDescent="0.25">
      <c r="A68" s="14">
        <v>2009</v>
      </c>
      <c r="B68" s="21">
        <f t="shared" ref="B68:G68" si="19" xml:space="preserve"> B14 / B41</f>
        <v>1.8216644649933951</v>
      </c>
      <c r="C68" s="21">
        <f t="shared" si="19"/>
        <v>1.61105969458584</v>
      </c>
      <c r="D68" s="21">
        <f t="shared" si="19"/>
        <v>1.1447196870925684</v>
      </c>
      <c r="E68" s="21">
        <f t="shared" si="19"/>
        <v>1.9764705882352942</v>
      </c>
      <c r="F68" s="21">
        <f t="shared" si="19"/>
        <v>1.1292775665399239</v>
      </c>
      <c r="G68" s="21">
        <f t="shared" si="19"/>
        <v>3.8888888888888888</v>
      </c>
      <c r="H68" s="21">
        <f t="shared" si="11"/>
        <v>1.9286801483893186</v>
      </c>
    </row>
    <row r="69" spans="1:8" x14ac:dyDescent="0.25">
      <c r="A69" s="14">
        <v>2010</v>
      </c>
      <c r="B69" s="21">
        <f t="shared" ref="B69:G69" si="20" xml:space="preserve"> B15 / B42</f>
        <v>1.6224755048990203</v>
      </c>
      <c r="C69" s="21">
        <f t="shared" si="20"/>
        <v>1.3055148853099072</v>
      </c>
      <c r="D69" s="21">
        <f t="shared" si="20"/>
        <v>1.6703848298940323</v>
      </c>
      <c r="E69" s="21">
        <f t="shared" si="20"/>
        <v>1.3678861788617886</v>
      </c>
      <c r="F69" s="21">
        <f t="shared" si="20"/>
        <v>1.8626629422718808</v>
      </c>
      <c r="G69" s="21">
        <f t="shared" si="20"/>
        <v>3.8571428571428572</v>
      </c>
      <c r="H69" s="21">
        <f t="shared" si="11"/>
        <v>1.947677866396581</v>
      </c>
    </row>
    <row r="70" spans="1:8" x14ac:dyDescent="0.25">
      <c r="A70" s="14">
        <v>2011</v>
      </c>
      <c r="B70" s="21">
        <f t="shared" ref="B70:G70" si="21" xml:space="preserve"> B16 / B43</f>
        <v>1.0786637931034482</v>
      </c>
      <c r="C70" s="21">
        <f t="shared" si="21"/>
        <v>2.7491480996068152</v>
      </c>
      <c r="D70" s="21">
        <f t="shared" si="21"/>
        <v>2.4606804238706079</v>
      </c>
      <c r="E70" s="21">
        <f t="shared" si="21"/>
        <v>1.6839779005524862</v>
      </c>
      <c r="F70" s="21">
        <f t="shared" si="21"/>
        <v>2.5412217001281503</v>
      </c>
      <c r="G70" s="21">
        <f t="shared" si="21"/>
        <v>4</v>
      </c>
      <c r="H70" s="21">
        <f t="shared" si="11"/>
        <v>2.4189486528769177</v>
      </c>
    </row>
    <row r="71" spans="1:8" x14ac:dyDescent="0.25">
      <c r="A71" s="14">
        <v>2012</v>
      </c>
      <c r="B71" s="21">
        <f t="shared" ref="B71:G71" si="22" xml:space="preserve"> B17 / B44</f>
        <v>2.1421644685802947</v>
      </c>
      <c r="C71" s="21">
        <f t="shared" si="22"/>
        <v>2.1899715688808477</v>
      </c>
      <c r="D71" s="21">
        <f t="shared" si="22"/>
        <v>2.3624925104853207</v>
      </c>
      <c r="E71" s="21">
        <f t="shared" si="22"/>
        <v>1.9790136411332633</v>
      </c>
      <c r="F71" s="21">
        <f t="shared" si="22"/>
        <v>2.0120053357047576</v>
      </c>
      <c r="G71" s="21">
        <f t="shared" si="22"/>
        <v>4.5714285714285712</v>
      </c>
      <c r="H71" s="21">
        <f t="shared" si="11"/>
        <v>2.5428460160355093</v>
      </c>
    </row>
    <row r="72" spans="1:8" x14ac:dyDescent="0.25">
      <c r="A72" s="14">
        <v>2013</v>
      </c>
      <c r="B72" s="21">
        <f t="shared" ref="B72:G72" si="23" xml:space="preserve"> B18 / B45</f>
        <v>1.3630769230769231</v>
      </c>
      <c r="C72" s="21">
        <f t="shared" si="23"/>
        <v>2.103059103059103</v>
      </c>
      <c r="D72" s="21">
        <f t="shared" si="23"/>
        <v>2.1940393151553583</v>
      </c>
      <c r="E72" s="21">
        <f t="shared" si="23"/>
        <v>1.7955346650998825</v>
      </c>
      <c r="F72" s="21">
        <f t="shared" si="23"/>
        <v>1.7724236641221374</v>
      </c>
      <c r="G72" s="21">
        <f t="shared" si="23"/>
        <v>5.166666666666667</v>
      </c>
      <c r="H72" s="21">
        <f t="shared" si="11"/>
        <v>2.3991333895300122</v>
      </c>
    </row>
    <row r="73" spans="1:8" x14ac:dyDescent="0.25">
      <c r="A73" s="14">
        <v>2014</v>
      </c>
      <c r="B73" s="21">
        <f t="shared" ref="B73:G73" si="24" xml:space="preserve"> B19 / B46</f>
        <v>1.9505376344086021</v>
      </c>
      <c r="C73" s="21">
        <f t="shared" si="24"/>
        <v>2.0171253822629969</v>
      </c>
      <c r="D73" s="21">
        <f t="shared" si="24"/>
        <v>2.2109375</v>
      </c>
      <c r="E73" s="21">
        <f t="shared" si="24"/>
        <v>1.366754617414248</v>
      </c>
      <c r="F73" s="21">
        <f t="shared" si="24"/>
        <v>2.207576543850545</v>
      </c>
      <c r="G73" s="21">
        <f t="shared" si="24"/>
        <v>5.375</v>
      </c>
      <c r="H73" s="21">
        <f t="shared" si="11"/>
        <v>2.5213219463227321</v>
      </c>
    </row>
    <row r="74" spans="1:8" x14ac:dyDescent="0.25">
      <c r="A74" s="14">
        <v>2015</v>
      </c>
      <c r="B74" s="21">
        <f t="shared" ref="B74:G74" si="25" xml:space="preserve"> B20 / B47</f>
        <v>1.7400907118911457</v>
      </c>
      <c r="C74" s="21">
        <f t="shared" si="25"/>
        <v>2.1547927461139897</v>
      </c>
      <c r="D74" s="21">
        <f t="shared" si="25"/>
        <v>1.8385744234800838</v>
      </c>
      <c r="E74" s="21">
        <f t="shared" si="25"/>
        <v>1.473134328358209</v>
      </c>
      <c r="F74" s="21">
        <f t="shared" si="25"/>
        <v>2.440084835630965</v>
      </c>
      <c r="G74" s="21">
        <f t="shared" si="25"/>
        <v>5.5</v>
      </c>
      <c r="H74" s="21">
        <f t="shared" si="11"/>
        <v>2.5244461742457323</v>
      </c>
    </row>
    <row r="75" spans="1:8" x14ac:dyDescent="0.25">
      <c r="A75" s="14">
        <v>2016</v>
      </c>
      <c r="B75" s="21">
        <f t="shared" ref="B75:G75" si="26" xml:space="preserve"> B21 / B48</f>
        <v>1.8438041594454073</v>
      </c>
      <c r="C75" s="21">
        <f t="shared" si="26"/>
        <v>2.3518581657006479</v>
      </c>
      <c r="D75" s="21">
        <f t="shared" si="26"/>
        <v>1.3524590163934427</v>
      </c>
      <c r="E75" s="21">
        <f t="shared" si="26"/>
        <v>2.1538461538461537</v>
      </c>
      <c r="F75" s="21">
        <f t="shared" si="26"/>
        <v>2.0785310734463276</v>
      </c>
      <c r="G75" s="21">
        <f t="shared" si="26"/>
        <v>4.8181818181818183</v>
      </c>
      <c r="H75" s="21">
        <f t="shared" si="11"/>
        <v>2.433113397835633</v>
      </c>
    </row>
    <row r="76" spans="1:8" x14ac:dyDescent="0.25">
      <c r="A76" s="14">
        <v>2017</v>
      </c>
      <c r="B76" s="21">
        <f t="shared" ref="B76:G76" si="27" xml:space="preserve"> B22 / B49</f>
        <v>2.0617785378366822</v>
      </c>
      <c r="C76" s="21">
        <f t="shared" si="27"/>
        <v>3.0230911330049262</v>
      </c>
      <c r="D76" s="21">
        <f t="shared" si="27"/>
        <v>3.2083906464924348</v>
      </c>
      <c r="E76" s="21">
        <f t="shared" si="27"/>
        <v>2.414790996784566</v>
      </c>
      <c r="F76" s="21">
        <f t="shared" si="27"/>
        <v>2.8158861340679522</v>
      </c>
      <c r="G76" s="21">
        <f t="shared" si="27"/>
        <v>5.6</v>
      </c>
      <c r="H76" s="21">
        <f t="shared" si="11"/>
        <v>3.1873229080310934</v>
      </c>
    </row>
    <row r="77" spans="1:8" x14ac:dyDescent="0.25">
      <c r="A77" s="14">
        <v>2018</v>
      </c>
      <c r="B77" s="21">
        <f t="shared" ref="B77:F77" si="28" xml:space="preserve"> B23 / B50</f>
        <v>1.8977076657628791</v>
      </c>
      <c r="C77" s="21">
        <f t="shared" si="28"/>
        <v>1.6838524883637667</v>
      </c>
      <c r="D77" s="21">
        <f t="shared" si="28"/>
        <v>2.544574982722875</v>
      </c>
      <c r="E77" s="21">
        <f t="shared" si="28"/>
        <v>1.1971830985915493</v>
      </c>
      <c r="F77" s="21">
        <f t="shared" si="28"/>
        <v>2.0506072874493926</v>
      </c>
      <c r="G77" s="21"/>
      <c r="H77" s="21">
        <f t="shared" si="11"/>
        <v>1.8747851045780926</v>
      </c>
    </row>
    <row r="78" spans="1:8" x14ac:dyDescent="0.25">
      <c r="A78" s="14">
        <v>2019</v>
      </c>
      <c r="B78" s="21">
        <f t="shared" ref="B78:F78" si="29" xml:space="preserve"> B24 / B51</f>
        <v>2.2840466926070038</v>
      </c>
      <c r="C78" s="21">
        <f t="shared" si="29"/>
        <v>0.77665827036104118</v>
      </c>
      <c r="D78" s="21">
        <f t="shared" si="29"/>
        <v>1.6229508196721312</v>
      </c>
      <c r="E78" s="21">
        <f t="shared" si="29"/>
        <v>1</v>
      </c>
      <c r="F78" s="21">
        <f t="shared" si="29"/>
        <v>1.6611751784733664</v>
      </c>
      <c r="G78" s="21"/>
      <c r="H78" s="21">
        <f t="shared" si="11"/>
        <v>1.4689661922227084</v>
      </c>
    </row>
    <row r="79" spans="1:8" x14ac:dyDescent="0.25">
      <c r="A79" s="14">
        <v>2020</v>
      </c>
      <c r="B79" s="21">
        <f t="shared" ref="B79:G79" si="30" xml:space="preserve"> B25 / B52</f>
        <v>1.4136036973407216</v>
      </c>
      <c r="C79" s="21">
        <f t="shared" si="30"/>
        <v>0.83114446529080677</v>
      </c>
      <c r="D79" s="21">
        <f t="shared" si="30"/>
        <v>2.5990202939118263</v>
      </c>
      <c r="E79" s="21">
        <f t="shared" si="30"/>
        <v>0.94784580498866211</v>
      </c>
      <c r="F79" s="21">
        <f t="shared" si="30"/>
        <v>1.5624636839047066</v>
      </c>
      <c r="G79" s="21">
        <f t="shared" si="30"/>
        <v>6.1111111111111107</v>
      </c>
      <c r="H79" s="21">
        <f t="shared" si="11"/>
        <v>2.2441981760913059</v>
      </c>
    </row>
    <row r="80" spans="1:8" x14ac:dyDescent="0.25">
      <c r="A80" s="14">
        <v>2021</v>
      </c>
      <c r="B80" s="21">
        <f t="shared" ref="B80:G81" si="31" xml:space="preserve"> B26 / B53</f>
        <v>2.0038742023701004</v>
      </c>
      <c r="C80" s="21">
        <f t="shared" si="31"/>
        <v>3.2132771860292295</v>
      </c>
      <c r="D80" s="21">
        <f t="shared" si="31"/>
        <v>3.2024062278839347</v>
      </c>
      <c r="E80" s="21">
        <f t="shared" si="31"/>
        <v>1.650103519668737</v>
      </c>
      <c r="F80" s="21">
        <f t="shared" si="31"/>
        <v>2.1747678864008737</v>
      </c>
      <c r="G80" s="21">
        <f t="shared" si="31"/>
        <v>6.8292682926829276</v>
      </c>
      <c r="H80" s="21">
        <f t="shared" si="11"/>
        <v>3.178949552505967</v>
      </c>
    </row>
    <row r="81" spans="1:8" x14ac:dyDescent="0.25">
      <c r="A81" s="14">
        <v>2022</v>
      </c>
      <c r="B81" s="21">
        <f t="shared" si="31"/>
        <v>2.5454545454545454</v>
      </c>
      <c r="C81" s="15"/>
      <c r="D81" s="15"/>
      <c r="E81" s="15"/>
      <c r="F81" s="15"/>
      <c r="G81" s="15"/>
      <c r="H81" s="21"/>
    </row>
    <row r="82" spans="1:8" x14ac:dyDescent="0.25">
      <c r="A82" s="17" t="s">
        <v>22</v>
      </c>
      <c r="B82" s="22">
        <f xml:space="preserve"> AVERAGE(B72:B81)</f>
        <v>1.910397477019401</v>
      </c>
      <c r="C82" s="22">
        <f t="shared" ref="C82:H82" si="32" xml:space="preserve"> AVERAGE(C71:C80)</f>
        <v>2.0344830509067355</v>
      </c>
      <c r="D82" s="22">
        <f t="shared" si="32"/>
        <v>2.3135845736197407</v>
      </c>
      <c r="E82" s="22">
        <f t="shared" si="32"/>
        <v>1.5978206825885271</v>
      </c>
      <c r="F82" s="22">
        <f t="shared" si="32"/>
        <v>2.0775521623051025</v>
      </c>
      <c r="G82" s="22">
        <f t="shared" si="32"/>
        <v>5.496457057508886</v>
      </c>
      <c r="H82" s="22">
        <f t="shared" si="32"/>
        <v>2.4375082857398782</v>
      </c>
    </row>
    <row r="84" spans="1:8" ht="15.75" x14ac:dyDescent="0.25">
      <c r="A84" s="6" t="s">
        <v>23</v>
      </c>
    </row>
    <row r="85" spans="1:8" ht="30" x14ac:dyDescent="0.25">
      <c r="A85" s="18" t="s">
        <v>1</v>
      </c>
      <c r="B85" s="18" t="s">
        <v>2</v>
      </c>
      <c r="C85" s="18" t="s">
        <v>15</v>
      </c>
      <c r="D85" s="18" t="s">
        <v>16</v>
      </c>
      <c r="E85" s="18" t="s">
        <v>17</v>
      </c>
      <c r="F85" s="18" t="s">
        <v>18</v>
      </c>
      <c r="G85" s="18" t="s">
        <v>19</v>
      </c>
      <c r="H85" s="18" t="s">
        <v>20</v>
      </c>
    </row>
    <row r="86" spans="1:8" x14ac:dyDescent="0.25">
      <c r="A86" s="19">
        <v>2000</v>
      </c>
      <c r="B86" s="9">
        <v>1117</v>
      </c>
      <c r="C86" s="9">
        <v>1040</v>
      </c>
      <c r="D86" s="9">
        <v>1189</v>
      </c>
      <c r="E86" s="9">
        <v>254</v>
      </c>
      <c r="F86" s="9">
        <v>1409</v>
      </c>
      <c r="G86" s="9">
        <v>22</v>
      </c>
      <c r="H86" s="15">
        <f xml:space="preserve"> SUM(B86:G86)</f>
        <v>5031</v>
      </c>
    </row>
    <row r="87" spans="1:8" x14ac:dyDescent="0.25">
      <c r="A87" s="19">
        <v>2001</v>
      </c>
      <c r="B87" s="9">
        <v>1358</v>
      </c>
      <c r="C87" s="9">
        <v>1253</v>
      </c>
      <c r="D87" s="9">
        <v>1670</v>
      </c>
      <c r="E87" s="9">
        <v>115</v>
      </c>
      <c r="F87" s="9">
        <v>2320</v>
      </c>
      <c r="G87" s="9">
        <v>26</v>
      </c>
      <c r="H87" s="15">
        <f t="shared" ref="H87:H107" si="33" xml:space="preserve"> SUM(B87:G87)</f>
        <v>6742</v>
      </c>
    </row>
    <row r="88" spans="1:8" x14ac:dyDescent="0.25">
      <c r="A88" s="19">
        <v>2002</v>
      </c>
      <c r="B88" s="9">
        <v>2263</v>
      </c>
      <c r="C88" s="9">
        <v>1382</v>
      </c>
      <c r="D88" s="9">
        <v>1656</v>
      </c>
      <c r="E88" s="9">
        <v>171</v>
      </c>
      <c r="F88" s="9">
        <v>2782</v>
      </c>
      <c r="G88" s="9">
        <v>26</v>
      </c>
      <c r="H88" s="15">
        <f t="shared" si="33"/>
        <v>8280</v>
      </c>
    </row>
    <row r="89" spans="1:8" x14ac:dyDescent="0.25">
      <c r="A89" s="19">
        <v>2003</v>
      </c>
      <c r="B89" s="9">
        <v>1349</v>
      </c>
      <c r="C89" s="9">
        <v>428</v>
      </c>
      <c r="D89" s="9">
        <v>478</v>
      </c>
      <c r="E89" s="9">
        <v>148</v>
      </c>
      <c r="F89" s="9">
        <v>1440</v>
      </c>
      <c r="G89" s="9">
        <v>21</v>
      </c>
      <c r="H89" s="15">
        <f t="shared" si="33"/>
        <v>3864</v>
      </c>
    </row>
    <row r="90" spans="1:8" x14ac:dyDescent="0.25">
      <c r="A90" s="19">
        <v>2004</v>
      </c>
      <c r="B90" s="9">
        <v>3170</v>
      </c>
      <c r="C90" s="9">
        <v>1955</v>
      </c>
      <c r="D90" s="9">
        <v>2275</v>
      </c>
      <c r="E90" s="9">
        <v>263</v>
      </c>
      <c r="F90" s="9">
        <v>2691</v>
      </c>
      <c r="G90" s="9">
        <v>28</v>
      </c>
      <c r="H90" s="15">
        <f t="shared" si="33"/>
        <v>10382</v>
      </c>
    </row>
    <row r="91" spans="1:8" x14ac:dyDescent="0.25">
      <c r="A91" s="19">
        <v>2005</v>
      </c>
      <c r="B91" s="9">
        <v>2489</v>
      </c>
      <c r="C91" s="9">
        <v>1761</v>
      </c>
      <c r="D91" s="9">
        <v>1305</v>
      </c>
      <c r="E91" s="9">
        <v>178</v>
      </c>
      <c r="F91" s="9">
        <v>1979</v>
      </c>
      <c r="G91" s="9">
        <v>28</v>
      </c>
      <c r="H91" s="15">
        <f t="shared" si="33"/>
        <v>7740</v>
      </c>
    </row>
    <row r="92" spans="1:8" x14ac:dyDescent="0.25">
      <c r="A92" s="19">
        <v>2006</v>
      </c>
      <c r="B92" s="9">
        <v>2400</v>
      </c>
      <c r="C92" s="9">
        <v>2336</v>
      </c>
      <c r="D92" s="9">
        <v>2004</v>
      </c>
      <c r="E92" s="9">
        <v>166</v>
      </c>
      <c r="F92" s="9">
        <v>2548</v>
      </c>
      <c r="G92" s="9">
        <v>28</v>
      </c>
      <c r="H92" s="15">
        <f t="shared" si="33"/>
        <v>9482</v>
      </c>
    </row>
    <row r="93" spans="1:8" x14ac:dyDescent="0.25">
      <c r="A93" s="19">
        <v>2007</v>
      </c>
      <c r="B93" s="9">
        <v>1808</v>
      </c>
      <c r="C93" s="9">
        <v>753</v>
      </c>
      <c r="D93" s="9">
        <v>605</v>
      </c>
      <c r="E93" s="9">
        <v>79</v>
      </c>
      <c r="F93" s="9">
        <v>996</v>
      </c>
      <c r="G93" s="9">
        <v>16</v>
      </c>
      <c r="H93" s="15">
        <f t="shared" si="33"/>
        <v>4257</v>
      </c>
    </row>
    <row r="94" spans="1:8" x14ac:dyDescent="0.25">
      <c r="A94" s="19">
        <v>2008</v>
      </c>
      <c r="B94" s="9">
        <v>2719</v>
      </c>
      <c r="C94" s="9">
        <v>814</v>
      </c>
      <c r="D94" s="9">
        <v>1789</v>
      </c>
      <c r="E94" s="9">
        <v>143</v>
      </c>
      <c r="F94" s="9">
        <v>1672</v>
      </c>
      <c r="G94" s="9">
        <v>22</v>
      </c>
      <c r="H94" s="15">
        <f t="shared" si="33"/>
        <v>7159</v>
      </c>
    </row>
    <row r="95" spans="1:8" x14ac:dyDescent="0.25">
      <c r="A95" s="19">
        <v>2009</v>
      </c>
      <c r="B95" s="9">
        <v>3007</v>
      </c>
      <c r="C95" s="9">
        <v>1449</v>
      </c>
      <c r="D95" s="9">
        <v>1461</v>
      </c>
      <c r="E95" s="9">
        <v>173</v>
      </c>
      <c r="F95" s="9">
        <v>1877</v>
      </c>
      <c r="G95" s="9">
        <v>29</v>
      </c>
      <c r="H95" s="15">
        <f t="shared" si="33"/>
        <v>7996</v>
      </c>
    </row>
    <row r="96" spans="1:8" x14ac:dyDescent="0.25">
      <c r="A96" s="19">
        <v>2010</v>
      </c>
      <c r="B96" s="9">
        <v>2554</v>
      </c>
      <c r="C96" s="9">
        <v>1236</v>
      </c>
      <c r="D96" s="9">
        <v>1865</v>
      </c>
      <c r="E96" s="9">
        <v>113</v>
      </c>
      <c r="F96" s="9">
        <v>2068</v>
      </c>
      <c r="G96" s="9">
        <v>29</v>
      </c>
      <c r="H96" s="15">
        <f t="shared" si="33"/>
        <v>7865</v>
      </c>
    </row>
    <row r="97" spans="1:18" x14ac:dyDescent="0.25">
      <c r="A97" s="19">
        <v>2011</v>
      </c>
      <c r="B97" s="9">
        <v>1549</v>
      </c>
      <c r="C97" s="9">
        <v>2194</v>
      </c>
      <c r="D97" s="9">
        <v>1945</v>
      </c>
      <c r="E97" s="9">
        <v>146</v>
      </c>
      <c r="F97" s="9">
        <v>2122</v>
      </c>
      <c r="G97" s="9">
        <v>39</v>
      </c>
      <c r="H97" s="15">
        <f t="shared" si="33"/>
        <v>7995</v>
      </c>
    </row>
    <row r="98" spans="1:18" x14ac:dyDescent="0.25">
      <c r="A98" s="19">
        <v>2012</v>
      </c>
      <c r="B98" s="9">
        <v>2761</v>
      </c>
      <c r="C98" s="9">
        <v>1425</v>
      </c>
      <c r="D98" s="9">
        <v>2005</v>
      </c>
      <c r="E98" s="9">
        <v>191</v>
      </c>
      <c r="F98" s="9">
        <v>1816</v>
      </c>
      <c r="G98" s="9">
        <v>23</v>
      </c>
      <c r="H98" s="15">
        <f t="shared" si="33"/>
        <v>8221</v>
      </c>
    </row>
    <row r="99" spans="1:18" x14ac:dyDescent="0.25">
      <c r="A99" s="19">
        <v>2013</v>
      </c>
      <c r="B99" s="9">
        <v>2214</v>
      </c>
      <c r="C99" s="9">
        <v>1331</v>
      </c>
      <c r="D99" s="9">
        <v>1951</v>
      </c>
      <c r="E99" s="9">
        <v>162</v>
      </c>
      <c r="F99" s="9">
        <v>1791</v>
      </c>
      <c r="G99" s="9">
        <v>16</v>
      </c>
      <c r="H99" s="15">
        <f t="shared" si="33"/>
        <v>7465</v>
      </c>
    </row>
    <row r="100" spans="1:18" x14ac:dyDescent="0.25">
      <c r="A100" s="19">
        <v>2014</v>
      </c>
      <c r="B100" s="9">
        <v>3556</v>
      </c>
      <c r="C100" s="9">
        <v>1486</v>
      </c>
      <c r="D100" s="9">
        <v>2036</v>
      </c>
      <c r="E100" s="9">
        <v>180</v>
      </c>
      <c r="F100" s="9">
        <v>1892</v>
      </c>
      <c r="G100" s="9">
        <v>25</v>
      </c>
      <c r="H100" s="15">
        <f t="shared" si="33"/>
        <v>9175</v>
      </c>
    </row>
    <row r="101" spans="1:18" x14ac:dyDescent="0.25">
      <c r="A101" s="19">
        <v>2015</v>
      </c>
      <c r="B101" s="9">
        <v>3192</v>
      </c>
      <c r="C101" s="9">
        <v>1869</v>
      </c>
      <c r="D101" s="9">
        <v>1374</v>
      </c>
      <c r="E101" s="9">
        <v>253</v>
      </c>
      <c r="F101" s="9">
        <v>1941</v>
      </c>
      <c r="G101" s="9">
        <v>17</v>
      </c>
      <c r="H101" s="15">
        <f t="shared" si="33"/>
        <v>8646</v>
      </c>
    </row>
    <row r="102" spans="1:18" x14ac:dyDescent="0.25">
      <c r="A102" s="19">
        <v>2016</v>
      </c>
      <c r="B102" s="9">
        <v>3248</v>
      </c>
      <c r="C102" s="9">
        <v>2528</v>
      </c>
      <c r="D102" s="9">
        <v>1107</v>
      </c>
      <c r="E102" s="9">
        <v>372</v>
      </c>
      <c r="F102" s="9">
        <v>1719</v>
      </c>
      <c r="G102" s="9">
        <v>16</v>
      </c>
      <c r="H102" s="15">
        <f t="shared" si="33"/>
        <v>8990</v>
      </c>
      <c r="M102" s="1"/>
    </row>
    <row r="103" spans="1:18" x14ac:dyDescent="0.25">
      <c r="A103" s="19">
        <v>2017</v>
      </c>
      <c r="B103" s="9">
        <v>4120</v>
      </c>
      <c r="C103" s="9">
        <v>2832</v>
      </c>
      <c r="D103" s="9">
        <v>3083</v>
      </c>
      <c r="E103" s="9">
        <v>436</v>
      </c>
      <c r="F103" s="9">
        <v>3002</v>
      </c>
      <c r="G103" s="9">
        <v>33</v>
      </c>
      <c r="H103" s="15">
        <f t="shared" si="33"/>
        <v>13506</v>
      </c>
    </row>
    <row r="104" spans="1:18" x14ac:dyDescent="0.25">
      <c r="A104" s="19">
        <v>2018</v>
      </c>
      <c r="B104" s="9">
        <v>3775</v>
      </c>
      <c r="C104" s="9">
        <v>1305</v>
      </c>
      <c r="D104" s="9">
        <v>2110</v>
      </c>
      <c r="E104" s="9">
        <v>188</v>
      </c>
      <c r="F104" s="9">
        <v>1861</v>
      </c>
      <c r="G104" s="9">
        <v>16</v>
      </c>
      <c r="H104" s="15">
        <f t="shared" si="33"/>
        <v>9255</v>
      </c>
      <c r="R104" s="1"/>
    </row>
    <row r="105" spans="1:18" x14ac:dyDescent="0.25">
      <c r="A105" s="19">
        <v>2019</v>
      </c>
      <c r="B105" s="9">
        <v>4798</v>
      </c>
      <c r="C105" s="9">
        <v>909</v>
      </c>
      <c r="D105" s="9">
        <v>1337</v>
      </c>
      <c r="E105" s="9">
        <v>132</v>
      </c>
      <c r="F105" s="9">
        <v>1615</v>
      </c>
      <c r="G105" s="9">
        <v>28</v>
      </c>
      <c r="H105" s="15">
        <f t="shared" si="33"/>
        <v>8819</v>
      </c>
    </row>
    <row r="106" spans="1:18" x14ac:dyDescent="0.25">
      <c r="A106" s="19">
        <v>2020</v>
      </c>
      <c r="B106" s="9">
        <v>3996</v>
      </c>
      <c r="C106" s="9">
        <v>916</v>
      </c>
      <c r="D106" s="9">
        <v>3117</v>
      </c>
      <c r="E106" s="9">
        <v>80</v>
      </c>
      <c r="F106" s="9">
        <v>1995</v>
      </c>
      <c r="G106" s="9">
        <v>22.905999999999999</v>
      </c>
      <c r="H106" s="15">
        <f t="shared" si="33"/>
        <v>10126.906000000001</v>
      </c>
    </row>
    <row r="107" spans="1:18" x14ac:dyDescent="0.25">
      <c r="A107" s="19">
        <v>2021</v>
      </c>
      <c r="B107" s="9">
        <v>4611</v>
      </c>
      <c r="C107" s="9">
        <v>4258</v>
      </c>
      <c r="D107" s="9">
        <v>2918</v>
      </c>
      <c r="E107" s="9">
        <v>434</v>
      </c>
      <c r="F107" s="9">
        <v>2395</v>
      </c>
      <c r="G107" s="9">
        <v>30.84</v>
      </c>
      <c r="H107" s="15">
        <f t="shared" si="33"/>
        <v>14646.84</v>
      </c>
    </row>
    <row r="108" spans="1:18" x14ac:dyDescent="0.25">
      <c r="A108" s="19">
        <v>2022</v>
      </c>
      <c r="B108" s="9">
        <v>6150</v>
      </c>
      <c r="C108" s="9"/>
      <c r="D108" s="9"/>
      <c r="E108" s="9"/>
      <c r="F108" s="9"/>
      <c r="G108" s="9"/>
      <c r="H108" s="15"/>
    </row>
    <row r="109" spans="1:18" x14ac:dyDescent="0.25">
      <c r="A109" s="20" t="s">
        <v>22</v>
      </c>
      <c r="B109" s="16">
        <f xml:space="preserve"> AVERAGE(B99:B108)</f>
        <v>3966</v>
      </c>
      <c r="C109" s="16">
        <f t="shared" ref="C109:H109" si="34" xml:space="preserve"> AVERAGE(C98:C107)</f>
        <v>1885.9</v>
      </c>
      <c r="D109" s="16">
        <f t="shared" si="34"/>
        <v>2103.8000000000002</v>
      </c>
      <c r="E109" s="16">
        <f t="shared" si="34"/>
        <v>242.8</v>
      </c>
      <c r="F109" s="16">
        <f t="shared" si="34"/>
        <v>2002.7</v>
      </c>
      <c r="G109" s="16">
        <f t="shared" si="34"/>
        <v>22.7746</v>
      </c>
      <c r="H109" s="16">
        <f t="shared" si="34"/>
        <v>9885.0745999999999</v>
      </c>
    </row>
    <row r="111" spans="1:18" ht="15.75" x14ac:dyDescent="0.25">
      <c r="A111" s="6" t="s">
        <v>25</v>
      </c>
    </row>
    <row r="112" spans="1:18" ht="30" x14ac:dyDescent="0.25">
      <c r="A112" s="18" t="s">
        <v>1</v>
      </c>
      <c r="B112" s="18" t="s">
        <v>2</v>
      </c>
      <c r="C112" s="18" t="s">
        <v>15</v>
      </c>
      <c r="D112" s="18" t="s">
        <v>16</v>
      </c>
      <c r="E112" s="18" t="s">
        <v>17</v>
      </c>
      <c r="F112" s="18" t="s">
        <v>18</v>
      </c>
      <c r="G112" s="18" t="s">
        <v>19</v>
      </c>
      <c r="H112" s="18" t="s">
        <v>20</v>
      </c>
    </row>
    <row r="113" spans="1:8" x14ac:dyDescent="0.25">
      <c r="A113" s="19">
        <v>2000</v>
      </c>
      <c r="B113" s="9">
        <v>550</v>
      </c>
      <c r="C113" s="9">
        <v>476</v>
      </c>
      <c r="D113" s="9">
        <v>585</v>
      </c>
      <c r="E113" s="9">
        <v>130</v>
      </c>
      <c r="F113" s="9">
        <v>845</v>
      </c>
      <c r="G113" s="9">
        <v>9</v>
      </c>
      <c r="H113" s="15">
        <f xml:space="preserve"> SUM(B113:G113)</f>
        <v>2595</v>
      </c>
    </row>
    <row r="114" spans="1:8" x14ac:dyDescent="0.25">
      <c r="A114" s="19">
        <v>2001</v>
      </c>
      <c r="B114" s="9">
        <v>983</v>
      </c>
      <c r="C114" s="9">
        <v>615</v>
      </c>
      <c r="D114" s="9">
        <v>693</v>
      </c>
      <c r="E114" s="9">
        <v>112</v>
      </c>
      <c r="F114" s="9">
        <v>1041</v>
      </c>
      <c r="G114" s="9">
        <v>10</v>
      </c>
      <c r="H114" s="15">
        <f t="shared" ref="H114:H134" si="35" xml:space="preserve"> SUM(B114:G114)</f>
        <v>3454</v>
      </c>
    </row>
    <row r="115" spans="1:8" x14ac:dyDescent="0.25">
      <c r="A115" s="19">
        <v>2002</v>
      </c>
      <c r="B115" s="9">
        <v>1088</v>
      </c>
      <c r="C115" s="9">
        <v>665</v>
      </c>
      <c r="D115" s="9">
        <v>700</v>
      </c>
      <c r="E115" s="9">
        <v>96</v>
      </c>
      <c r="F115" s="9">
        <v>1151</v>
      </c>
      <c r="G115" s="9">
        <v>7</v>
      </c>
      <c r="H115" s="15">
        <f t="shared" si="35"/>
        <v>3707</v>
      </c>
    </row>
    <row r="116" spans="1:8" x14ac:dyDescent="0.25">
      <c r="A116" s="19">
        <v>2003</v>
      </c>
      <c r="B116" s="9">
        <v>1140</v>
      </c>
      <c r="C116" s="9">
        <v>636</v>
      </c>
      <c r="D116" s="9">
        <v>778</v>
      </c>
      <c r="E116" s="9">
        <v>108</v>
      </c>
      <c r="F116" s="9">
        <v>1194</v>
      </c>
      <c r="G116" s="9">
        <v>8</v>
      </c>
      <c r="H116" s="15">
        <f t="shared" si="35"/>
        <v>3864</v>
      </c>
    </row>
    <row r="117" spans="1:8" x14ac:dyDescent="0.25">
      <c r="A117" s="19">
        <v>2004</v>
      </c>
      <c r="B117" s="9">
        <v>1278</v>
      </c>
      <c r="C117" s="9">
        <v>951</v>
      </c>
      <c r="D117" s="9">
        <v>872</v>
      </c>
      <c r="E117" s="9">
        <v>151</v>
      </c>
      <c r="F117" s="9">
        <v>1216</v>
      </c>
      <c r="G117" s="9">
        <v>9</v>
      </c>
      <c r="H117" s="15">
        <f t="shared" si="35"/>
        <v>4477</v>
      </c>
    </row>
    <row r="118" spans="1:8" x14ac:dyDescent="0.25">
      <c r="A118" s="19">
        <v>2005</v>
      </c>
      <c r="B118" s="9">
        <v>1313</v>
      </c>
      <c r="C118" s="9">
        <v>1023</v>
      </c>
      <c r="D118" s="9">
        <v>924</v>
      </c>
      <c r="E118" s="9">
        <v>97</v>
      </c>
      <c r="F118" s="9">
        <v>1280</v>
      </c>
      <c r="G118" s="9">
        <v>8</v>
      </c>
      <c r="H118" s="15">
        <f t="shared" si="35"/>
        <v>4645</v>
      </c>
    </row>
    <row r="119" spans="1:8" x14ac:dyDescent="0.25">
      <c r="A119" s="19">
        <v>2006</v>
      </c>
      <c r="B119" s="9">
        <v>1192</v>
      </c>
      <c r="C119" s="9">
        <v>1068</v>
      </c>
      <c r="D119" s="9">
        <v>856</v>
      </c>
      <c r="E119" s="9">
        <v>146</v>
      </c>
      <c r="F119" s="9">
        <v>1175</v>
      </c>
      <c r="G119" s="9">
        <v>8</v>
      </c>
      <c r="H119" s="15">
        <f t="shared" si="35"/>
        <v>4445</v>
      </c>
    </row>
    <row r="120" spans="1:8" x14ac:dyDescent="0.25">
      <c r="A120" s="19">
        <v>2007</v>
      </c>
      <c r="B120" s="9">
        <v>1083</v>
      </c>
      <c r="C120" s="9">
        <v>902</v>
      </c>
      <c r="D120" s="9">
        <v>913</v>
      </c>
      <c r="E120" s="9">
        <v>81</v>
      </c>
      <c r="F120" s="9">
        <v>1193</v>
      </c>
      <c r="G120" s="9">
        <v>7</v>
      </c>
      <c r="H120" s="15">
        <f t="shared" si="35"/>
        <v>4179</v>
      </c>
    </row>
    <row r="121" spans="1:8" x14ac:dyDescent="0.25">
      <c r="A121" s="19">
        <v>2008</v>
      </c>
      <c r="B121" s="9">
        <v>1381</v>
      </c>
      <c r="C121" s="9">
        <v>1049</v>
      </c>
      <c r="D121" s="9">
        <v>1107</v>
      </c>
      <c r="E121" s="9">
        <v>113</v>
      </c>
      <c r="F121" s="9">
        <v>1244</v>
      </c>
      <c r="G121" s="9">
        <v>8</v>
      </c>
      <c r="H121" s="15">
        <f t="shared" si="35"/>
        <v>4902</v>
      </c>
    </row>
    <row r="122" spans="1:8" x14ac:dyDescent="0.25">
      <c r="A122" s="19">
        <v>2009</v>
      </c>
      <c r="B122" s="9">
        <v>1559</v>
      </c>
      <c r="C122" s="9">
        <v>977</v>
      </c>
      <c r="D122" s="9">
        <v>1136</v>
      </c>
      <c r="E122" s="9">
        <v>92</v>
      </c>
      <c r="F122" s="9">
        <v>1240</v>
      </c>
      <c r="G122" s="9">
        <v>11</v>
      </c>
      <c r="H122" s="15">
        <f t="shared" si="35"/>
        <v>5015</v>
      </c>
    </row>
    <row r="123" spans="1:8" x14ac:dyDescent="0.25">
      <c r="A123" s="19">
        <v>2010</v>
      </c>
      <c r="B123" s="9">
        <v>1400</v>
      </c>
      <c r="C123" s="9">
        <v>972</v>
      </c>
      <c r="D123" s="9">
        <v>985</v>
      </c>
      <c r="E123" s="9">
        <v>69</v>
      </c>
      <c r="F123" s="9">
        <v>1012</v>
      </c>
      <c r="G123" s="9">
        <v>9</v>
      </c>
      <c r="H123" s="15">
        <f t="shared" si="35"/>
        <v>4447</v>
      </c>
    </row>
    <row r="124" spans="1:8" x14ac:dyDescent="0.25">
      <c r="A124" s="19">
        <v>2011</v>
      </c>
      <c r="B124" s="9">
        <v>1101</v>
      </c>
      <c r="C124" s="9">
        <v>878</v>
      </c>
      <c r="D124" s="9">
        <v>802</v>
      </c>
      <c r="E124" s="9">
        <v>94</v>
      </c>
      <c r="F124" s="9">
        <v>795</v>
      </c>
      <c r="G124" s="9">
        <v>11</v>
      </c>
      <c r="H124" s="15">
        <f t="shared" si="35"/>
        <v>3681</v>
      </c>
    </row>
    <row r="125" spans="1:8" x14ac:dyDescent="0.25">
      <c r="A125" s="19">
        <v>2012</v>
      </c>
      <c r="B125" s="9">
        <v>1246</v>
      </c>
      <c r="C125" s="9">
        <v>673</v>
      </c>
      <c r="D125" s="9">
        <v>831</v>
      </c>
      <c r="E125" s="9">
        <v>80</v>
      </c>
      <c r="F125" s="9">
        <v>881</v>
      </c>
      <c r="G125" s="9">
        <v>6</v>
      </c>
      <c r="H125" s="15">
        <f t="shared" si="35"/>
        <v>3717</v>
      </c>
    </row>
    <row r="126" spans="1:8" x14ac:dyDescent="0.25">
      <c r="A126" s="19">
        <v>2013</v>
      </c>
      <c r="B126" s="9">
        <v>1210</v>
      </c>
      <c r="C126" s="9">
        <v>616</v>
      </c>
      <c r="D126" s="9">
        <v>844</v>
      </c>
      <c r="E126" s="9">
        <v>88</v>
      </c>
      <c r="F126" s="9">
        <v>860</v>
      </c>
      <c r="G126" s="9">
        <v>5</v>
      </c>
      <c r="H126" s="15">
        <f t="shared" si="35"/>
        <v>3623</v>
      </c>
    </row>
    <row r="127" spans="1:8" x14ac:dyDescent="0.25">
      <c r="A127" s="19">
        <v>2014</v>
      </c>
      <c r="B127" s="9">
        <v>1237</v>
      </c>
      <c r="C127" s="9">
        <v>708</v>
      </c>
      <c r="D127" s="9">
        <v>922</v>
      </c>
      <c r="E127" s="9">
        <v>106</v>
      </c>
      <c r="F127" s="9">
        <v>796</v>
      </c>
      <c r="G127" s="9">
        <v>6</v>
      </c>
      <c r="H127" s="15">
        <f t="shared" si="35"/>
        <v>3775</v>
      </c>
    </row>
    <row r="128" spans="1:8" x14ac:dyDescent="0.25">
      <c r="A128" s="19">
        <v>2015</v>
      </c>
      <c r="B128" s="9">
        <v>1255</v>
      </c>
      <c r="C128" s="9">
        <v>860</v>
      </c>
      <c r="D128" s="9">
        <v>882</v>
      </c>
      <c r="E128" s="9">
        <v>124</v>
      </c>
      <c r="F128" s="9">
        <v>786</v>
      </c>
      <c r="G128" s="9">
        <v>5</v>
      </c>
      <c r="H128" s="15">
        <f t="shared" si="35"/>
        <v>3912</v>
      </c>
    </row>
    <row r="129" spans="1:8" x14ac:dyDescent="0.25">
      <c r="A129" s="19">
        <v>2016</v>
      </c>
      <c r="B129" s="9">
        <v>1384</v>
      </c>
      <c r="C129" s="9">
        <v>966</v>
      </c>
      <c r="D129" s="9">
        <v>844</v>
      </c>
      <c r="E129" s="9">
        <v>138</v>
      </c>
      <c r="F129" s="9">
        <v>769</v>
      </c>
      <c r="G129" s="9">
        <v>6</v>
      </c>
      <c r="H129" s="15">
        <f t="shared" si="35"/>
        <v>4107</v>
      </c>
    </row>
    <row r="130" spans="1:8" x14ac:dyDescent="0.25">
      <c r="A130" s="19">
        <v>2017</v>
      </c>
      <c r="B130" s="9">
        <v>1694</v>
      </c>
      <c r="C130" s="9">
        <v>1056</v>
      </c>
      <c r="D130" s="9">
        <v>946</v>
      </c>
      <c r="E130" s="9">
        <v>149</v>
      </c>
      <c r="F130" s="9">
        <v>981</v>
      </c>
      <c r="G130" s="9">
        <v>8</v>
      </c>
      <c r="H130" s="15">
        <f t="shared" si="35"/>
        <v>4834</v>
      </c>
    </row>
    <row r="131" spans="1:8" x14ac:dyDescent="0.25">
      <c r="A131" s="19">
        <v>2018</v>
      </c>
      <c r="B131" s="9">
        <v>1531</v>
      </c>
      <c r="C131" s="9">
        <v>763</v>
      </c>
      <c r="D131" s="9">
        <v>844</v>
      </c>
      <c r="E131" s="9">
        <v>105</v>
      </c>
      <c r="F131" s="9">
        <v>876</v>
      </c>
      <c r="G131" s="9">
        <v>5</v>
      </c>
      <c r="H131" s="15">
        <f t="shared" si="35"/>
        <v>4124</v>
      </c>
    </row>
    <row r="132" spans="1:8" x14ac:dyDescent="0.25">
      <c r="A132" s="19">
        <v>2019</v>
      </c>
      <c r="B132" s="9">
        <v>1897</v>
      </c>
      <c r="C132" s="9">
        <v>668</v>
      </c>
      <c r="D132" s="9">
        <v>893</v>
      </c>
      <c r="E132" s="9">
        <v>99</v>
      </c>
      <c r="F132" s="9">
        <v>873</v>
      </c>
      <c r="G132" s="9">
        <v>6</v>
      </c>
      <c r="H132" s="15">
        <f t="shared" si="35"/>
        <v>4436</v>
      </c>
    </row>
    <row r="133" spans="1:8" x14ac:dyDescent="0.25">
      <c r="A133" s="19">
        <v>2020</v>
      </c>
      <c r="B133" s="9">
        <v>1907</v>
      </c>
      <c r="C133" s="9">
        <v>885</v>
      </c>
      <c r="D133" s="9">
        <v>1102</v>
      </c>
      <c r="E133" s="9">
        <v>80</v>
      </c>
      <c r="F133" s="9">
        <v>1061</v>
      </c>
      <c r="G133" s="9">
        <v>5.1230000000000002</v>
      </c>
      <c r="H133" s="15">
        <f t="shared" si="35"/>
        <v>5040.1229999999996</v>
      </c>
    </row>
    <row r="134" spans="1:8" x14ac:dyDescent="0.25">
      <c r="A134" s="19">
        <v>2021</v>
      </c>
      <c r="B134" s="9">
        <v>1844</v>
      </c>
      <c r="C134" s="9">
        <v>1371</v>
      </c>
      <c r="D134" s="9">
        <v>1012</v>
      </c>
      <c r="E134" s="9">
        <v>227</v>
      </c>
      <c r="F134" s="9">
        <v>1031</v>
      </c>
      <c r="G134" s="9">
        <v>5.423</v>
      </c>
      <c r="H134" s="15">
        <f t="shared" si="35"/>
        <v>5490.4229999999998</v>
      </c>
    </row>
    <row r="135" spans="1:8" x14ac:dyDescent="0.25">
      <c r="A135" s="19">
        <v>2022</v>
      </c>
      <c r="B135" s="9">
        <v>1620</v>
      </c>
      <c r="C135" s="9"/>
      <c r="D135" s="9"/>
      <c r="E135" s="9"/>
      <c r="F135" s="9"/>
      <c r="G135" s="9"/>
      <c r="H135" s="15"/>
    </row>
    <row r="136" spans="1:8" x14ac:dyDescent="0.25">
      <c r="A136" s="20" t="s">
        <v>22</v>
      </c>
      <c r="B136" s="16">
        <f xml:space="preserve"> AVERAGE(B126:B135)</f>
        <v>1557.9</v>
      </c>
      <c r="C136" s="16">
        <f t="shared" ref="C136:H136" si="36" xml:space="preserve"> AVERAGE(C125:C134)</f>
        <v>856.6</v>
      </c>
      <c r="D136" s="16">
        <f t="shared" si="36"/>
        <v>912</v>
      </c>
      <c r="E136" s="16">
        <f t="shared" si="36"/>
        <v>119.6</v>
      </c>
      <c r="F136" s="16">
        <f t="shared" si="36"/>
        <v>891.4</v>
      </c>
      <c r="G136" s="16">
        <f t="shared" si="36"/>
        <v>5.7545999999999999</v>
      </c>
      <c r="H136" s="16">
        <f t="shared" si="36"/>
        <v>4305.8546000000006</v>
      </c>
    </row>
    <row r="138" spans="1:8" ht="15.75" x14ac:dyDescent="0.25">
      <c r="A138" s="6" t="s">
        <v>27</v>
      </c>
    </row>
    <row r="139" spans="1:8" ht="30" x14ac:dyDescent="0.25">
      <c r="A139" s="18" t="s">
        <v>1</v>
      </c>
      <c r="B139" s="18" t="s">
        <v>2</v>
      </c>
      <c r="C139" s="18" t="s">
        <v>15</v>
      </c>
      <c r="D139" s="18" t="s">
        <v>16</v>
      </c>
      <c r="E139" s="18" t="s">
        <v>17</v>
      </c>
      <c r="F139" s="18" t="s">
        <v>18</v>
      </c>
      <c r="G139" s="18" t="s">
        <v>19</v>
      </c>
      <c r="H139" s="18" t="s">
        <v>20</v>
      </c>
    </row>
    <row r="140" spans="1:8" x14ac:dyDescent="0.25">
      <c r="A140" s="19">
        <v>2000</v>
      </c>
      <c r="B140" s="21">
        <f xml:space="preserve"> B86 / B113</f>
        <v>2.0309090909090908</v>
      </c>
      <c r="C140" s="21">
        <f t="shared" ref="C140:G140" si="37" xml:space="preserve"> C86 / C113</f>
        <v>2.1848739495798317</v>
      </c>
      <c r="D140" s="21">
        <f t="shared" si="37"/>
        <v>2.0324786324786324</v>
      </c>
      <c r="E140" s="21">
        <f t="shared" si="37"/>
        <v>1.9538461538461538</v>
      </c>
      <c r="F140" s="21">
        <f t="shared" si="37"/>
        <v>1.667455621301775</v>
      </c>
      <c r="G140" s="21">
        <f t="shared" si="37"/>
        <v>2.4444444444444446</v>
      </c>
      <c r="H140" s="21">
        <f xml:space="preserve"> AVERAGE(B140:G140)</f>
        <v>2.0523346487599881</v>
      </c>
    </row>
    <row r="141" spans="1:8" x14ac:dyDescent="0.25">
      <c r="A141" s="19">
        <v>2001</v>
      </c>
      <c r="B141" s="21">
        <f t="shared" ref="B141:G141" si="38" xml:space="preserve"> B87 / B114</f>
        <v>1.3814852492370295</v>
      </c>
      <c r="C141" s="21">
        <f t="shared" si="38"/>
        <v>2.03739837398374</v>
      </c>
      <c r="D141" s="21">
        <f t="shared" si="38"/>
        <v>2.4098124098124099</v>
      </c>
      <c r="E141" s="21">
        <f t="shared" si="38"/>
        <v>1.0267857142857142</v>
      </c>
      <c r="F141" s="21">
        <f t="shared" si="38"/>
        <v>2.2286263208453412</v>
      </c>
      <c r="G141" s="21">
        <f t="shared" si="38"/>
        <v>2.6</v>
      </c>
      <c r="H141" s="21">
        <f t="shared" ref="H141:H161" si="39" xml:space="preserve"> AVERAGE(B141:G141)</f>
        <v>1.9473513446940389</v>
      </c>
    </row>
    <row r="142" spans="1:8" x14ac:dyDescent="0.25">
      <c r="A142" s="19">
        <v>2002</v>
      </c>
      <c r="B142" s="21">
        <f t="shared" ref="B142:G142" si="40" xml:space="preserve"> B88 / B115</f>
        <v>2.0799632352941178</v>
      </c>
      <c r="C142" s="21">
        <f t="shared" si="40"/>
        <v>2.0781954887218044</v>
      </c>
      <c r="D142" s="21">
        <f t="shared" si="40"/>
        <v>2.3657142857142857</v>
      </c>
      <c r="E142" s="21">
        <f t="shared" si="40"/>
        <v>1.78125</v>
      </c>
      <c r="F142" s="21">
        <f t="shared" si="40"/>
        <v>2.4170286707211122</v>
      </c>
      <c r="G142" s="21">
        <f t="shared" si="40"/>
        <v>3.7142857142857144</v>
      </c>
      <c r="H142" s="21">
        <f t="shared" si="39"/>
        <v>2.4060728991228388</v>
      </c>
    </row>
    <row r="143" spans="1:8" x14ac:dyDescent="0.25">
      <c r="A143" s="19">
        <v>2003</v>
      </c>
      <c r="B143" s="21">
        <f t="shared" ref="B143:G143" si="41" xml:space="preserve"> B89 / B116</f>
        <v>1.1833333333333333</v>
      </c>
      <c r="C143" s="21">
        <f t="shared" si="41"/>
        <v>0.67295597484276726</v>
      </c>
      <c r="D143" s="21">
        <f t="shared" si="41"/>
        <v>0.61439588688946012</v>
      </c>
      <c r="E143" s="21">
        <f t="shared" si="41"/>
        <v>1.3703703703703705</v>
      </c>
      <c r="F143" s="21">
        <f t="shared" si="41"/>
        <v>1.2060301507537687</v>
      </c>
      <c r="G143" s="21">
        <f t="shared" si="41"/>
        <v>2.625</v>
      </c>
      <c r="H143" s="21">
        <f t="shared" si="39"/>
        <v>1.2786809526982832</v>
      </c>
    </row>
    <row r="144" spans="1:8" x14ac:dyDescent="0.25">
      <c r="A144" s="19">
        <v>2004</v>
      </c>
      <c r="B144" s="21">
        <f t="shared" ref="B144:G144" si="42" xml:space="preserve"> B90 / B117</f>
        <v>2.4804381846635368</v>
      </c>
      <c r="C144" s="21">
        <f t="shared" si="42"/>
        <v>2.0557308096740274</v>
      </c>
      <c r="D144" s="21">
        <f t="shared" si="42"/>
        <v>2.6089449541284404</v>
      </c>
      <c r="E144" s="21">
        <f t="shared" si="42"/>
        <v>1.7417218543046358</v>
      </c>
      <c r="F144" s="21">
        <f t="shared" si="42"/>
        <v>2.2129934210526314</v>
      </c>
      <c r="G144" s="21">
        <f t="shared" si="42"/>
        <v>3.1111111111111112</v>
      </c>
      <c r="H144" s="21">
        <f t="shared" si="39"/>
        <v>2.3684900558223974</v>
      </c>
    </row>
    <row r="145" spans="1:8" x14ac:dyDescent="0.25">
      <c r="A145" s="19">
        <v>2005</v>
      </c>
      <c r="B145" s="21">
        <f t="shared" ref="B145:G145" si="43" xml:space="preserve"> B91 / B118</f>
        <v>1.8956587966488956</v>
      </c>
      <c r="C145" s="21">
        <f t="shared" si="43"/>
        <v>1.7214076246334311</v>
      </c>
      <c r="D145" s="21">
        <f t="shared" si="43"/>
        <v>1.4123376623376624</v>
      </c>
      <c r="E145" s="21">
        <f t="shared" si="43"/>
        <v>1.8350515463917525</v>
      </c>
      <c r="F145" s="21">
        <f t="shared" si="43"/>
        <v>1.54609375</v>
      </c>
      <c r="G145" s="21">
        <f t="shared" si="43"/>
        <v>3.5</v>
      </c>
      <c r="H145" s="21">
        <f t="shared" si="39"/>
        <v>1.9850915633352901</v>
      </c>
    </row>
    <row r="146" spans="1:8" x14ac:dyDescent="0.25">
      <c r="A146" s="19">
        <v>2006</v>
      </c>
      <c r="B146" s="21">
        <f t="shared" ref="B146:G146" si="44" xml:space="preserve"> B92 / B119</f>
        <v>2.0134228187919465</v>
      </c>
      <c r="C146" s="21">
        <f t="shared" si="44"/>
        <v>2.1872659176029963</v>
      </c>
      <c r="D146" s="21">
        <f t="shared" si="44"/>
        <v>2.3411214953271027</v>
      </c>
      <c r="E146" s="21">
        <f t="shared" si="44"/>
        <v>1.1369863013698631</v>
      </c>
      <c r="F146" s="21">
        <f t="shared" si="44"/>
        <v>2.1685106382978723</v>
      </c>
      <c r="G146" s="21">
        <f t="shared" si="44"/>
        <v>3.5</v>
      </c>
      <c r="H146" s="21">
        <f t="shared" si="39"/>
        <v>2.2245511952316304</v>
      </c>
    </row>
    <row r="147" spans="1:8" x14ac:dyDescent="0.25">
      <c r="A147" s="19">
        <v>2007</v>
      </c>
      <c r="B147" s="21">
        <f t="shared" ref="B147:G147" si="45" xml:space="preserve"> B93 / B120</f>
        <v>1.6694367497691598</v>
      </c>
      <c r="C147" s="21">
        <f t="shared" si="45"/>
        <v>0.83481152993348118</v>
      </c>
      <c r="D147" s="21">
        <f t="shared" si="45"/>
        <v>0.66265060240963858</v>
      </c>
      <c r="E147" s="21">
        <f t="shared" si="45"/>
        <v>0.97530864197530864</v>
      </c>
      <c r="F147" s="21">
        <f t="shared" si="45"/>
        <v>0.83487007544006708</v>
      </c>
      <c r="G147" s="21">
        <f t="shared" si="45"/>
        <v>2.2857142857142856</v>
      </c>
      <c r="H147" s="21">
        <f t="shared" si="39"/>
        <v>1.2104653142069901</v>
      </c>
    </row>
    <row r="148" spans="1:8" x14ac:dyDescent="0.25">
      <c r="A148" s="19">
        <v>2008</v>
      </c>
      <c r="B148" s="21">
        <f t="shared" ref="B148:G148" si="46" xml:space="preserve"> B94 / B121</f>
        <v>1.9688631426502534</v>
      </c>
      <c r="C148" s="21">
        <f t="shared" si="46"/>
        <v>0.77597712106768346</v>
      </c>
      <c r="D148" s="21">
        <f t="shared" si="46"/>
        <v>1.6160794941282746</v>
      </c>
      <c r="E148" s="21">
        <f t="shared" si="46"/>
        <v>1.2654867256637168</v>
      </c>
      <c r="F148" s="21">
        <f t="shared" si="46"/>
        <v>1.3440514469453375</v>
      </c>
      <c r="G148" s="21">
        <f t="shared" si="46"/>
        <v>2.75</v>
      </c>
      <c r="H148" s="21">
        <f t="shared" si="39"/>
        <v>1.6200763217425445</v>
      </c>
    </row>
    <row r="149" spans="1:8" x14ac:dyDescent="0.25">
      <c r="A149" s="19">
        <v>2009</v>
      </c>
      <c r="B149" s="21">
        <f t="shared" ref="B149:G149" si="47" xml:space="preserve"> B95 / B122</f>
        <v>1.9288005131494548</v>
      </c>
      <c r="C149" s="21">
        <f t="shared" si="47"/>
        <v>1.4831115660184238</v>
      </c>
      <c r="D149" s="21">
        <f t="shared" si="47"/>
        <v>1.2860915492957747</v>
      </c>
      <c r="E149" s="21">
        <f t="shared" si="47"/>
        <v>1.8804347826086956</v>
      </c>
      <c r="F149" s="21">
        <f t="shared" si="47"/>
        <v>1.5137096774193548</v>
      </c>
      <c r="G149" s="21">
        <f t="shared" si="47"/>
        <v>2.6363636363636362</v>
      </c>
      <c r="H149" s="21">
        <f t="shared" si="39"/>
        <v>1.7880852874758901</v>
      </c>
    </row>
    <row r="150" spans="1:8" x14ac:dyDescent="0.25">
      <c r="A150" s="19">
        <v>2010</v>
      </c>
      <c r="B150" s="21">
        <f t="shared" ref="B150:G150" si="48" xml:space="preserve"> B96 / B123</f>
        <v>1.8242857142857143</v>
      </c>
      <c r="C150" s="21">
        <f t="shared" si="48"/>
        <v>1.271604938271605</v>
      </c>
      <c r="D150" s="21">
        <f t="shared" si="48"/>
        <v>1.8934010152284264</v>
      </c>
      <c r="E150" s="21">
        <f t="shared" si="48"/>
        <v>1.6376811594202898</v>
      </c>
      <c r="F150" s="21">
        <f t="shared" si="48"/>
        <v>2.0434782608695654</v>
      </c>
      <c r="G150" s="21">
        <f t="shared" si="48"/>
        <v>3.2222222222222223</v>
      </c>
      <c r="H150" s="21">
        <f t="shared" si="39"/>
        <v>1.9821122183829705</v>
      </c>
    </row>
    <row r="151" spans="1:8" x14ac:dyDescent="0.25">
      <c r="A151" s="19">
        <v>2011</v>
      </c>
      <c r="B151" s="21">
        <f t="shared" ref="B151:G151" si="49" xml:space="preserve"> B97 / B124</f>
        <v>1.4069028156221617</v>
      </c>
      <c r="C151" s="21">
        <f t="shared" si="49"/>
        <v>2.4988610478359909</v>
      </c>
      <c r="D151" s="21">
        <f t="shared" si="49"/>
        <v>2.4251870324189526</v>
      </c>
      <c r="E151" s="21">
        <f t="shared" si="49"/>
        <v>1.553191489361702</v>
      </c>
      <c r="F151" s="21">
        <f t="shared" si="49"/>
        <v>2.6691823899371068</v>
      </c>
      <c r="G151" s="21">
        <f t="shared" si="49"/>
        <v>3.5454545454545454</v>
      </c>
      <c r="H151" s="21">
        <f t="shared" si="39"/>
        <v>2.3497965534384098</v>
      </c>
    </row>
    <row r="152" spans="1:8" x14ac:dyDescent="0.25">
      <c r="A152" s="19">
        <v>2012</v>
      </c>
      <c r="B152" s="21">
        <f t="shared" ref="B152:G152" si="50" xml:space="preserve"> B98 / B125</f>
        <v>2.2158908507223112</v>
      </c>
      <c r="C152" s="21">
        <f t="shared" si="50"/>
        <v>2.1173848439821694</v>
      </c>
      <c r="D152" s="21">
        <f t="shared" si="50"/>
        <v>2.4127557160048134</v>
      </c>
      <c r="E152" s="21">
        <f t="shared" si="50"/>
        <v>2.3875000000000002</v>
      </c>
      <c r="F152" s="21">
        <f t="shared" si="50"/>
        <v>2.0612939841089672</v>
      </c>
      <c r="G152" s="21">
        <f t="shared" si="50"/>
        <v>3.8333333333333335</v>
      </c>
      <c r="H152" s="21">
        <f t="shared" si="39"/>
        <v>2.5046931213585997</v>
      </c>
    </row>
    <row r="153" spans="1:8" x14ac:dyDescent="0.25">
      <c r="A153" s="19">
        <v>2013</v>
      </c>
      <c r="B153" s="21">
        <f t="shared" ref="B153:G153" si="51" xml:space="preserve"> B99 / B126</f>
        <v>1.8297520661157025</v>
      </c>
      <c r="C153" s="21">
        <f t="shared" si="51"/>
        <v>2.1607142857142856</v>
      </c>
      <c r="D153" s="21">
        <f t="shared" si="51"/>
        <v>2.3116113744075828</v>
      </c>
      <c r="E153" s="21">
        <f t="shared" si="51"/>
        <v>1.8409090909090908</v>
      </c>
      <c r="F153" s="21">
        <f t="shared" si="51"/>
        <v>2.0825581395348838</v>
      </c>
      <c r="G153" s="21">
        <f t="shared" si="51"/>
        <v>3.2</v>
      </c>
      <c r="H153" s="21">
        <f t="shared" si="39"/>
        <v>2.2375908261135908</v>
      </c>
    </row>
    <row r="154" spans="1:8" x14ac:dyDescent="0.25">
      <c r="A154" s="19">
        <v>2014</v>
      </c>
      <c r="B154" s="21">
        <f t="shared" ref="B154:G154" si="52" xml:space="preserve"> B100 / B127</f>
        <v>2.8746968472109944</v>
      </c>
      <c r="C154" s="21">
        <f t="shared" si="52"/>
        <v>2.0988700564971752</v>
      </c>
      <c r="D154" s="21">
        <f t="shared" si="52"/>
        <v>2.2082429501084597</v>
      </c>
      <c r="E154" s="21">
        <f t="shared" si="52"/>
        <v>1.6981132075471699</v>
      </c>
      <c r="F154" s="21">
        <f t="shared" si="52"/>
        <v>2.3768844221105527</v>
      </c>
      <c r="G154" s="21">
        <f t="shared" si="52"/>
        <v>4.166666666666667</v>
      </c>
      <c r="H154" s="21">
        <f t="shared" si="39"/>
        <v>2.5705790250235032</v>
      </c>
    </row>
    <row r="155" spans="1:8" x14ac:dyDescent="0.25">
      <c r="A155" s="19">
        <v>2015</v>
      </c>
      <c r="B155" s="21">
        <f t="shared" ref="B155:G155" si="53" xml:space="preserve"> B101 / B128</f>
        <v>2.5434262948207169</v>
      </c>
      <c r="C155" s="21">
        <f t="shared" si="53"/>
        <v>2.1732558139534883</v>
      </c>
      <c r="D155" s="21">
        <f t="shared" si="53"/>
        <v>1.5578231292517006</v>
      </c>
      <c r="E155" s="21">
        <f t="shared" si="53"/>
        <v>2.0403225806451615</v>
      </c>
      <c r="F155" s="21">
        <f t="shared" si="53"/>
        <v>2.4694656488549618</v>
      </c>
      <c r="G155" s="21">
        <f t="shared" si="53"/>
        <v>3.4</v>
      </c>
      <c r="H155" s="21">
        <f t="shared" si="39"/>
        <v>2.3640489112543386</v>
      </c>
    </row>
    <row r="156" spans="1:8" x14ac:dyDescent="0.25">
      <c r="A156" s="19">
        <v>2016</v>
      </c>
      <c r="B156" s="21">
        <f t="shared" ref="B156:G156" si="54" xml:space="preserve"> B102 / B129</f>
        <v>2.346820809248555</v>
      </c>
      <c r="C156" s="21">
        <f t="shared" si="54"/>
        <v>2.616977225672878</v>
      </c>
      <c r="D156" s="21">
        <f t="shared" si="54"/>
        <v>1.311611374407583</v>
      </c>
      <c r="E156" s="21">
        <f t="shared" si="54"/>
        <v>2.6956521739130435</v>
      </c>
      <c r="F156" s="21">
        <f t="shared" si="54"/>
        <v>2.2353706111833551</v>
      </c>
      <c r="G156" s="21">
        <f t="shared" si="54"/>
        <v>2.6666666666666665</v>
      </c>
      <c r="H156" s="21">
        <f t="shared" si="39"/>
        <v>2.3121831435153468</v>
      </c>
    </row>
    <row r="157" spans="1:8" x14ac:dyDescent="0.25">
      <c r="A157" s="19">
        <v>2017</v>
      </c>
      <c r="B157" s="21">
        <f t="shared" ref="B157:G157" si="55" xml:space="preserve"> B103 / B130</f>
        <v>2.4321133412042504</v>
      </c>
      <c r="C157" s="21">
        <f t="shared" si="55"/>
        <v>2.6818181818181817</v>
      </c>
      <c r="D157" s="21">
        <f t="shared" si="55"/>
        <v>3.2589852008456659</v>
      </c>
      <c r="E157" s="21">
        <f t="shared" si="55"/>
        <v>2.9261744966442955</v>
      </c>
      <c r="F157" s="21">
        <f t="shared" si="55"/>
        <v>3.0601427115188584</v>
      </c>
      <c r="G157" s="21">
        <f t="shared" si="55"/>
        <v>4.125</v>
      </c>
      <c r="H157" s="21">
        <f t="shared" si="39"/>
        <v>3.0807056553385421</v>
      </c>
    </row>
    <row r="158" spans="1:8" x14ac:dyDescent="0.25">
      <c r="A158" s="19">
        <v>2018</v>
      </c>
      <c r="B158" s="21">
        <f t="shared" ref="B158:G158" si="56" xml:space="preserve"> B104 / B131</f>
        <v>2.4657086871325933</v>
      </c>
      <c r="C158" s="21">
        <f t="shared" si="56"/>
        <v>1.7103538663171691</v>
      </c>
      <c r="D158" s="21">
        <f t="shared" si="56"/>
        <v>2.5</v>
      </c>
      <c r="E158" s="21">
        <f t="shared" si="56"/>
        <v>1.7904761904761906</v>
      </c>
      <c r="F158" s="21">
        <f t="shared" si="56"/>
        <v>2.1244292237442921</v>
      </c>
      <c r="G158" s="21">
        <f t="shared" si="56"/>
        <v>3.2</v>
      </c>
      <c r="H158" s="21">
        <f t="shared" si="39"/>
        <v>2.2984946612783741</v>
      </c>
    </row>
    <row r="159" spans="1:8" x14ac:dyDescent="0.25">
      <c r="A159" s="19">
        <v>2019</v>
      </c>
      <c r="B159" s="21">
        <f t="shared" ref="B159:G159" si="57" xml:space="preserve"> B105 / B132</f>
        <v>2.5292567211386401</v>
      </c>
      <c r="C159" s="21">
        <f t="shared" si="57"/>
        <v>1.3607784431137724</v>
      </c>
      <c r="D159" s="21">
        <f t="shared" si="57"/>
        <v>1.4972004479283314</v>
      </c>
      <c r="E159" s="21">
        <f t="shared" si="57"/>
        <v>1.3333333333333333</v>
      </c>
      <c r="F159" s="21">
        <f t="shared" si="57"/>
        <v>1.8499427262313861</v>
      </c>
      <c r="G159" s="21">
        <f t="shared" si="57"/>
        <v>4.666666666666667</v>
      </c>
      <c r="H159" s="21">
        <f t="shared" si="39"/>
        <v>2.2061963897353549</v>
      </c>
    </row>
    <row r="160" spans="1:8" x14ac:dyDescent="0.25">
      <c r="A160" s="19">
        <v>2020</v>
      </c>
      <c r="B160" s="21">
        <f t="shared" ref="B160:G160" si="58" xml:space="preserve"> B106 / B133</f>
        <v>2.0954378605138961</v>
      </c>
      <c r="C160" s="21">
        <f t="shared" si="58"/>
        <v>1.0350282485875706</v>
      </c>
      <c r="D160" s="21">
        <f t="shared" si="58"/>
        <v>2.8284936479128855</v>
      </c>
      <c r="E160" s="21">
        <f t="shared" si="58"/>
        <v>1</v>
      </c>
      <c r="F160" s="21">
        <f t="shared" si="58"/>
        <v>1.8803016022620169</v>
      </c>
      <c r="G160" s="21">
        <f t="shared" si="58"/>
        <v>4.4712082764005459</v>
      </c>
      <c r="H160" s="21">
        <f t="shared" si="39"/>
        <v>2.2184116059461525</v>
      </c>
    </row>
    <row r="161" spans="1:8" x14ac:dyDescent="0.25">
      <c r="A161" s="19">
        <v>2021</v>
      </c>
      <c r="B161" s="21">
        <f t="shared" ref="B161:G162" si="59" xml:space="preserve"> B107 / B134</f>
        <v>2.5005422993492408</v>
      </c>
      <c r="C161" s="21">
        <f t="shared" si="59"/>
        <v>3.1057622173595916</v>
      </c>
      <c r="D161" s="21">
        <f t="shared" si="59"/>
        <v>2.883399209486166</v>
      </c>
      <c r="E161" s="21">
        <f t="shared" si="59"/>
        <v>1.9118942731277533</v>
      </c>
      <c r="F161" s="21">
        <f t="shared" si="59"/>
        <v>2.3229873908826382</v>
      </c>
      <c r="G161" s="21">
        <f t="shared" si="59"/>
        <v>5.6868891757329889</v>
      </c>
      <c r="H161" s="21">
        <f t="shared" si="39"/>
        <v>3.0685790943230629</v>
      </c>
    </row>
    <row r="162" spans="1:8" x14ac:dyDescent="0.25">
      <c r="A162" s="19">
        <v>2022</v>
      </c>
      <c r="B162" s="21">
        <f t="shared" si="59"/>
        <v>3.7962962962962963</v>
      </c>
      <c r="C162" s="15"/>
      <c r="D162" s="15"/>
      <c r="E162" s="15"/>
      <c r="F162" s="15"/>
      <c r="G162" s="15"/>
      <c r="H162" s="21"/>
    </row>
    <row r="163" spans="1:8" x14ac:dyDescent="0.25">
      <c r="A163" s="20" t="s">
        <v>22</v>
      </c>
      <c r="B163" s="22">
        <f xml:space="preserve"> AVERAGE(B153:B162)</f>
        <v>2.5414051223030887</v>
      </c>
      <c r="C163" s="22">
        <f t="shared" ref="C163:H163" si="60" xml:space="preserve"> AVERAGE(C152:C161)</f>
        <v>2.1060943183016279</v>
      </c>
      <c r="D163" s="22">
        <f t="shared" si="60"/>
        <v>2.2770123050353193</v>
      </c>
      <c r="E163" s="22">
        <f t="shared" si="60"/>
        <v>1.9624375346596039</v>
      </c>
      <c r="F163" s="22">
        <f t="shared" si="60"/>
        <v>2.2463376460431914</v>
      </c>
      <c r="G163" s="22">
        <f t="shared" si="60"/>
        <v>3.9416430785466865</v>
      </c>
      <c r="H163" s="22">
        <f t="shared" si="60"/>
        <v>2.4861482433886861</v>
      </c>
    </row>
  </sheetData>
  <pageMargins left="0.7" right="0.7" top="0.75" bottom="0.75" header="0.3" footer="0.3"/>
  <drawing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B57910-A06F-4725-886F-03CA035781CF}">
  <sheetPr codeName="Sheet3">
    <tabColor theme="7" tint="-0.249977111117893"/>
  </sheetPr>
  <dimension ref="A1:R53"/>
  <sheetViews>
    <sheetView zoomScaleNormal="100" workbookViewId="0">
      <selection activeCell="J62" sqref="J62"/>
    </sheetView>
  </sheetViews>
  <sheetFormatPr defaultRowHeight="15" x14ac:dyDescent="0.25"/>
  <cols>
    <col min="1" max="10" width="9.140625" style="4"/>
    <col min="11" max="11" width="10.5703125" style="4" customWidth="1"/>
    <col min="12" max="12" width="9.85546875" style="4" customWidth="1"/>
    <col min="13" max="16384" width="9.140625" style="4"/>
  </cols>
  <sheetData>
    <row r="1" spans="1:5" s="8" customFormat="1" ht="26.25" x14ac:dyDescent="0.2">
      <c r="A1" s="13" t="s">
        <v>57</v>
      </c>
    </row>
    <row r="3" spans="1:5" ht="15.75" x14ac:dyDescent="0.25">
      <c r="A3" s="6" t="s">
        <v>102</v>
      </c>
    </row>
    <row r="4" spans="1:5" x14ac:dyDescent="0.25">
      <c r="B4" s="119"/>
      <c r="C4" s="164" t="s">
        <v>4</v>
      </c>
      <c r="D4" s="164"/>
      <c r="E4" s="114" t="s">
        <v>5</v>
      </c>
    </row>
    <row r="5" spans="1:5" x14ac:dyDescent="0.25">
      <c r="B5" s="119"/>
      <c r="C5" s="116" t="s">
        <v>74</v>
      </c>
      <c r="D5" s="116" t="s">
        <v>103</v>
      </c>
      <c r="E5" s="116" t="s">
        <v>74</v>
      </c>
    </row>
    <row r="6" spans="1:5" x14ac:dyDescent="0.25">
      <c r="A6" s="115"/>
      <c r="B6" s="115" t="s">
        <v>104</v>
      </c>
      <c r="C6" s="117">
        <f xml:space="preserve"> K29 * 0.001</f>
        <v>3.6759870588235297</v>
      </c>
      <c r="D6" s="117">
        <f xml:space="preserve"> K32 * 0.001</f>
        <v>4.3263540000000003</v>
      </c>
      <c r="E6" s="117">
        <f xml:space="preserve"> K41 * 0.001</f>
        <v>1.5118349388235297</v>
      </c>
    </row>
    <row r="7" spans="1:5" x14ac:dyDescent="0.25">
      <c r="A7" s="115"/>
      <c r="B7" s="115" t="s">
        <v>105</v>
      </c>
      <c r="C7" s="118">
        <f xml:space="preserve"> R29 * 0.001</f>
        <v>1.3784951470588236</v>
      </c>
      <c r="D7" s="118">
        <f xml:space="preserve"> R32 * 0.001</f>
        <v>1.6223827500000003</v>
      </c>
      <c r="E7" s="118">
        <f xml:space="preserve"> R41 * 0.001</f>
        <v>0.4157546081764707</v>
      </c>
    </row>
    <row r="9" spans="1:5" ht="15.75" x14ac:dyDescent="0.25">
      <c r="A9" s="6" t="s">
        <v>30</v>
      </c>
    </row>
    <row r="10" spans="1:5" ht="30" customHeight="1" x14ac:dyDescent="0.25">
      <c r="B10" s="29" t="s">
        <v>55</v>
      </c>
      <c r="C10" s="29" t="s">
        <v>56</v>
      </c>
    </row>
    <row r="11" spans="1:5" x14ac:dyDescent="0.25">
      <c r="A11" s="28" t="s">
        <v>28</v>
      </c>
      <c r="B11" s="30">
        <v>6</v>
      </c>
      <c r="C11" s="30">
        <v>1</v>
      </c>
    </row>
    <row r="12" spans="1:5" x14ac:dyDescent="0.25">
      <c r="A12" s="28" t="s">
        <v>29</v>
      </c>
      <c r="B12" s="30">
        <v>9</v>
      </c>
      <c r="C12" s="30">
        <v>1</v>
      </c>
    </row>
    <row r="13" spans="1:5" x14ac:dyDescent="0.25">
      <c r="A13" s="31" t="s">
        <v>11</v>
      </c>
      <c r="B13" s="32">
        <f xml:space="preserve"> B11 + B12</f>
        <v>15</v>
      </c>
      <c r="C13" s="32">
        <f xml:space="preserve"> C11 + C12</f>
        <v>2</v>
      </c>
    </row>
    <row r="15" spans="1:5" ht="15.75" x14ac:dyDescent="0.25">
      <c r="A15" s="6" t="s">
        <v>52</v>
      </c>
    </row>
    <row r="16" spans="1:5" ht="30.75" customHeight="1" x14ac:dyDescent="0.25">
      <c r="B16" s="29" t="s">
        <v>54</v>
      </c>
      <c r="C16" s="29" t="s">
        <v>53</v>
      </c>
    </row>
    <row r="17" spans="1:18" x14ac:dyDescent="0.25">
      <c r="A17" s="28" t="s">
        <v>11</v>
      </c>
      <c r="B17" s="30">
        <v>20</v>
      </c>
      <c r="C17" s="30">
        <v>2</v>
      </c>
    </row>
    <row r="19" spans="1:18" ht="15.75" x14ac:dyDescent="0.25">
      <c r="A19" s="6" t="s">
        <v>58</v>
      </c>
    </row>
    <row r="20" spans="1:18" ht="15.75" customHeight="1" x14ac:dyDescent="0.25">
      <c r="B20" s="29" t="s">
        <v>4</v>
      </c>
      <c r="C20" s="29" t="s">
        <v>5</v>
      </c>
    </row>
    <row r="21" spans="1:18" x14ac:dyDescent="0.25">
      <c r="A21" s="28" t="s">
        <v>59</v>
      </c>
      <c r="B21" s="43">
        <v>375</v>
      </c>
      <c r="C21" s="43">
        <v>275</v>
      </c>
    </row>
    <row r="23" spans="1:18" ht="15.75" x14ac:dyDescent="0.25">
      <c r="A23" s="6" t="s">
        <v>4</v>
      </c>
    </row>
    <row r="24" spans="1:18" ht="15.75" x14ac:dyDescent="0.25">
      <c r="A24" s="6"/>
      <c r="E24" s="61" t="s">
        <v>61</v>
      </c>
      <c r="F24" s="61"/>
      <c r="G24" s="60"/>
      <c r="L24" s="61" t="s">
        <v>62</v>
      </c>
    </row>
    <row r="25" spans="1:18" ht="15.75" x14ac:dyDescent="0.25">
      <c r="A25" s="6"/>
      <c r="E25" s="62" t="s">
        <v>31</v>
      </c>
      <c r="F25" s="35" t="s">
        <v>15</v>
      </c>
      <c r="G25" s="35" t="s">
        <v>32</v>
      </c>
      <c r="H25" s="35" t="s">
        <v>33</v>
      </c>
      <c r="I25" s="35" t="s">
        <v>34</v>
      </c>
      <c r="J25" s="35" t="s">
        <v>35</v>
      </c>
      <c r="K25" s="35" t="s">
        <v>20</v>
      </c>
      <c r="L25" s="62" t="s">
        <v>31</v>
      </c>
      <c r="M25" s="35" t="s">
        <v>15</v>
      </c>
      <c r="N25" s="35" t="s">
        <v>32</v>
      </c>
      <c r="O25" s="35" t="s">
        <v>33</v>
      </c>
      <c r="P25" s="35" t="s">
        <v>34</v>
      </c>
      <c r="Q25" s="35" t="s">
        <v>35</v>
      </c>
      <c r="R25" s="35" t="s">
        <v>20</v>
      </c>
    </row>
    <row r="26" spans="1:18" x14ac:dyDescent="0.25">
      <c r="A26" s="59" t="s">
        <v>66</v>
      </c>
      <c r="B26" s="47"/>
      <c r="C26" s="47"/>
      <c r="D26" s="47"/>
      <c r="E26" s="63">
        <f xml:space="preserve"> 'Crop Data'!B28</f>
        <v>8851.5</v>
      </c>
      <c r="F26" s="54">
        <f xml:space="preserve"> 'Crop Data'!C28</f>
        <v>6681.8</v>
      </c>
      <c r="G26" s="54">
        <f xml:space="preserve"> 'Crop Data'!D28</f>
        <v>3410.8</v>
      </c>
      <c r="H26" s="54">
        <f xml:space="preserve"> 'Crop Data'!E28</f>
        <v>1145.2</v>
      </c>
      <c r="I26" s="54">
        <f xml:space="preserve"> 'Crop Data'!F28</f>
        <v>4065.6</v>
      </c>
      <c r="J26" s="54">
        <f xml:space="preserve"> 'Crop Data'!G28</f>
        <v>35.9</v>
      </c>
      <c r="K26" s="54">
        <f xml:space="preserve"> 'Crop Data'!H28</f>
        <v>24035.3</v>
      </c>
      <c r="L26" s="63">
        <f xml:space="preserve"> E26 * $B$21 * 0.001</f>
        <v>3319.3125</v>
      </c>
      <c r="M26" s="54">
        <f t="shared" ref="M26:R26" si="0" xml:space="preserve"> F26 * $B$21 * 0.001</f>
        <v>2505.6750000000002</v>
      </c>
      <c r="N26" s="54">
        <f t="shared" si="0"/>
        <v>1279.05</v>
      </c>
      <c r="O26" s="54">
        <f t="shared" si="0"/>
        <v>429.45</v>
      </c>
      <c r="P26" s="54">
        <f t="shared" si="0"/>
        <v>1524.6000000000001</v>
      </c>
      <c r="Q26" s="54">
        <f t="shared" si="0"/>
        <v>13.4625</v>
      </c>
      <c r="R26" s="54">
        <f t="shared" si="0"/>
        <v>9013.2375000000011</v>
      </c>
    </row>
    <row r="27" spans="1:18" x14ac:dyDescent="0.25">
      <c r="A27" s="72" t="s">
        <v>60</v>
      </c>
      <c r="B27" s="45"/>
      <c r="C27" s="45"/>
      <c r="D27" s="45"/>
      <c r="E27" s="68">
        <f t="shared" ref="E27:K27" si="1" xml:space="preserve"> E$26 * $B$13 * 0.01 / (1 - $B$13 * 0.01)</f>
        <v>1562.0294117647061</v>
      </c>
      <c r="F27" s="53">
        <f t="shared" si="1"/>
        <v>1179.1411764705883</v>
      </c>
      <c r="G27" s="53">
        <f t="shared" si="1"/>
        <v>601.90588235294115</v>
      </c>
      <c r="H27" s="53">
        <f t="shared" si="1"/>
        <v>202.09411764705882</v>
      </c>
      <c r="I27" s="53">
        <f t="shared" si="1"/>
        <v>717.4588235294118</v>
      </c>
      <c r="J27" s="53">
        <f t="shared" si="1"/>
        <v>6.3352941176470585</v>
      </c>
      <c r="K27" s="53">
        <f t="shared" si="1"/>
        <v>4241.5235294117647</v>
      </c>
      <c r="L27" s="64">
        <f xml:space="preserve"> E27 * $B$21 * 0.001</f>
        <v>585.76102941176487</v>
      </c>
      <c r="M27" s="16">
        <f t="shared" ref="M27:R28" si="2" xml:space="preserve"> F27 * $B$21 * 0.001</f>
        <v>442.1779411764706</v>
      </c>
      <c r="N27" s="16">
        <f t="shared" si="2"/>
        <v>225.71470588235292</v>
      </c>
      <c r="O27" s="16">
        <f t="shared" si="2"/>
        <v>75.785294117647069</v>
      </c>
      <c r="P27" s="16">
        <f t="shared" si="2"/>
        <v>269.04705882352943</v>
      </c>
      <c r="Q27" s="16">
        <f t="shared" si="2"/>
        <v>2.3757352941176468</v>
      </c>
      <c r="R27" s="16">
        <f t="shared" si="2"/>
        <v>1590.5713235294118</v>
      </c>
    </row>
    <row r="28" spans="1:18" x14ac:dyDescent="0.25">
      <c r="A28" s="73" t="s">
        <v>64</v>
      </c>
      <c r="B28" s="33"/>
      <c r="C28" s="33"/>
      <c r="D28" s="33"/>
      <c r="E28" s="69">
        <f t="shared" ref="E28:K28" si="3" xml:space="preserve"> E$26 * $C$13 * 0.01 / (1 - $B$13 * 0.01)</f>
        <v>208.27058823529413</v>
      </c>
      <c r="F28" s="46">
        <f t="shared" si="3"/>
        <v>157.21882352941176</v>
      </c>
      <c r="G28" s="46">
        <f t="shared" si="3"/>
        <v>80.254117647058834</v>
      </c>
      <c r="H28" s="46">
        <f t="shared" si="3"/>
        <v>26.945882352941176</v>
      </c>
      <c r="I28" s="46">
        <f t="shared" si="3"/>
        <v>95.661176470588231</v>
      </c>
      <c r="J28" s="46">
        <f t="shared" si="3"/>
        <v>0.8447058823529412</v>
      </c>
      <c r="K28" s="46">
        <f t="shared" si="3"/>
        <v>565.53647058823537</v>
      </c>
      <c r="L28" s="65">
        <f xml:space="preserve"> E28 * $B$21 * 0.001</f>
        <v>78.101470588235301</v>
      </c>
      <c r="M28" s="15">
        <f t="shared" si="2"/>
        <v>58.957058823529415</v>
      </c>
      <c r="N28" s="15">
        <f t="shared" si="2"/>
        <v>30.095294117647065</v>
      </c>
      <c r="O28" s="15">
        <f t="shared" si="2"/>
        <v>10.10470588235294</v>
      </c>
      <c r="P28" s="15">
        <f t="shared" si="2"/>
        <v>35.87294117647059</v>
      </c>
      <c r="Q28" s="15">
        <f t="shared" si="2"/>
        <v>0.31676470588235295</v>
      </c>
      <c r="R28" s="15">
        <f t="shared" si="2"/>
        <v>212.07617647058825</v>
      </c>
    </row>
    <row r="29" spans="1:18" x14ac:dyDescent="0.25">
      <c r="A29" s="74" t="s">
        <v>67</v>
      </c>
      <c r="B29" s="47"/>
      <c r="C29" s="47"/>
      <c r="D29" s="47"/>
      <c r="E29" s="70">
        <f t="shared" ref="E29:R29" si="4" xml:space="preserve"> E27 - E28</f>
        <v>1353.758823529412</v>
      </c>
      <c r="F29" s="58">
        <f t="shared" si="4"/>
        <v>1021.9223529411765</v>
      </c>
      <c r="G29" s="58">
        <f t="shared" si="4"/>
        <v>521.65176470588233</v>
      </c>
      <c r="H29" s="58">
        <f t="shared" si="4"/>
        <v>175.14823529411765</v>
      </c>
      <c r="I29" s="58">
        <f t="shared" si="4"/>
        <v>621.7976470588236</v>
      </c>
      <c r="J29" s="58">
        <f t="shared" si="4"/>
        <v>5.4905882352941173</v>
      </c>
      <c r="K29" s="58">
        <f t="shared" si="4"/>
        <v>3675.9870588235294</v>
      </c>
      <c r="L29" s="66">
        <f t="shared" si="4"/>
        <v>507.65955882352955</v>
      </c>
      <c r="M29" s="48">
        <f t="shared" si="4"/>
        <v>383.2208823529412</v>
      </c>
      <c r="N29" s="48">
        <f t="shared" si="4"/>
        <v>195.61941176470586</v>
      </c>
      <c r="O29" s="48">
        <f t="shared" si="4"/>
        <v>65.680588235294124</v>
      </c>
      <c r="P29" s="48">
        <f t="shared" si="4"/>
        <v>233.17411764705884</v>
      </c>
      <c r="Q29" s="48">
        <f t="shared" si="4"/>
        <v>2.0589705882352938</v>
      </c>
      <c r="R29" s="48">
        <f t="shared" si="4"/>
        <v>1378.4951470588235</v>
      </c>
    </row>
    <row r="30" spans="1:18" x14ac:dyDescent="0.25">
      <c r="A30" s="72" t="s">
        <v>63</v>
      </c>
      <c r="B30" s="45"/>
      <c r="C30" s="45"/>
      <c r="D30" s="45"/>
      <c r="E30" s="68">
        <f xml:space="preserve"> E$26 * $B$17 * 0.01 / (1 - $B$17 * 0.01)</f>
        <v>2212.875</v>
      </c>
      <c r="F30" s="53">
        <f t="shared" ref="F30:K30" si="5" xml:space="preserve"> F$26 * $B$17 / 100</f>
        <v>1336.36</v>
      </c>
      <c r="G30" s="53">
        <f t="shared" si="5"/>
        <v>682.16</v>
      </c>
      <c r="H30" s="53">
        <f t="shared" si="5"/>
        <v>229.04</v>
      </c>
      <c r="I30" s="53">
        <f t="shared" si="5"/>
        <v>813.12</v>
      </c>
      <c r="J30" s="53">
        <f t="shared" si="5"/>
        <v>7.18</v>
      </c>
      <c r="K30" s="53">
        <f t="shared" si="5"/>
        <v>4807.0600000000004</v>
      </c>
      <c r="L30" s="64">
        <f t="shared" ref="L30:R31" si="6" xml:space="preserve"> E30 * $B$21 * 0.001</f>
        <v>829.828125</v>
      </c>
      <c r="M30" s="16">
        <f t="shared" si="6"/>
        <v>501.13499999999993</v>
      </c>
      <c r="N30" s="16">
        <f t="shared" si="6"/>
        <v>255.81</v>
      </c>
      <c r="O30" s="16">
        <f t="shared" si="6"/>
        <v>85.89</v>
      </c>
      <c r="P30" s="16">
        <f t="shared" si="6"/>
        <v>304.92</v>
      </c>
      <c r="Q30" s="16">
        <f t="shared" si="6"/>
        <v>2.6924999999999999</v>
      </c>
      <c r="R30" s="16">
        <f t="shared" si="6"/>
        <v>1802.6475000000003</v>
      </c>
    </row>
    <row r="31" spans="1:18" x14ac:dyDescent="0.25">
      <c r="A31" s="73" t="s">
        <v>65</v>
      </c>
      <c r="B31" s="33"/>
      <c r="C31" s="33"/>
      <c r="D31" s="33"/>
      <c r="E31" s="69">
        <f xml:space="preserve"> E$26 * $C$17 * 0.01 / (1 - $B$17 * 0.01)</f>
        <v>221.28749999999999</v>
      </c>
      <c r="F31" s="46">
        <f t="shared" ref="F31:K31" si="7" xml:space="preserve"> F$26 * $C$17 / 100</f>
        <v>133.636</v>
      </c>
      <c r="G31" s="46">
        <f t="shared" si="7"/>
        <v>68.216000000000008</v>
      </c>
      <c r="H31" s="46">
        <f t="shared" si="7"/>
        <v>22.904</v>
      </c>
      <c r="I31" s="46">
        <f t="shared" si="7"/>
        <v>81.311999999999998</v>
      </c>
      <c r="J31" s="46">
        <f t="shared" si="7"/>
        <v>0.71799999999999997</v>
      </c>
      <c r="K31" s="46">
        <f t="shared" si="7"/>
        <v>480.70599999999996</v>
      </c>
      <c r="L31" s="65">
        <f t="shared" si="6"/>
        <v>82.982812500000009</v>
      </c>
      <c r="M31" s="15">
        <f t="shared" si="6"/>
        <v>50.113500000000002</v>
      </c>
      <c r="N31" s="15">
        <f t="shared" si="6"/>
        <v>25.581000000000003</v>
      </c>
      <c r="O31" s="15">
        <f t="shared" si="6"/>
        <v>8.5890000000000004</v>
      </c>
      <c r="P31" s="15">
        <f t="shared" si="6"/>
        <v>30.492000000000001</v>
      </c>
      <c r="Q31" s="15">
        <f t="shared" si="6"/>
        <v>0.26924999999999999</v>
      </c>
      <c r="R31" s="15">
        <f t="shared" si="6"/>
        <v>180.26474999999996</v>
      </c>
    </row>
    <row r="32" spans="1:18" x14ac:dyDescent="0.25">
      <c r="A32" s="74" t="s">
        <v>69</v>
      </c>
      <c r="B32" s="47"/>
      <c r="C32" s="47"/>
      <c r="D32" s="47"/>
      <c r="E32" s="70">
        <f t="shared" ref="E32:R32" si="8" xml:space="preserve"> E30 - E31</f>
        <v>1991.5875000000001</v>
      </c>
      <c r="F32" s="58">
        <f t="shared" si="8"/>
        <v>1202.7239999999999</v>
      </c>
      <c r="G32" s="58">
        <f t="shared" si="8"/>
        <v>613.94399999999996</v>
      </c>
      <c r="H32" s="58">
        <f t="shared" si="8"/>
        <v>206.136</v>
      </c>
      <c r="I32" s="58">
        <f t="shared" si="8"/>
        <v>731.80799999999999</v>
      </c>
      <c r="J32" s="58">
        <f t="shared" si="8"/>
        <v>6.4619999999999997</v>
      </c>
      <c r="K32" s="58">
        <f t="shared" si="8"/>
        <v>4326.3540000000003</v>
      </c>
      <c r="L32" s="66">
        <f t="shared" si="8"/>
        <v>746.84531249999998</v>
      </c>
      <c r="M32" s="48">
        <f t="shared" si="8"/>
        <v>451.02149999999995</v>
      </c>
      <c r="N32" s="48">
        <f t="shared" si="8"/>
        <v>230.22899999999998</v>
      </c>
      <c r="O32" s="48">
        <f t="shared" si="8"/>
        <v>77.301000000000002</v>
      </c>
      <c r="P32" s="48">
        <f t="shared" si="8"/>
        <v>274.428</v>
      </c>
      <c r="Q32" s="48">
        <f t="shared" si="8"/>
        <v>2.4232499999999999</v>
      </c>
      <c r="R32" s="48">
        <f t="shared" si="8"/>
        <v>1622.3827500000002</v>
      </c>
    </row>
    <row r="33" spans="1:18" x14ac:dyDescent="0.25">
      <c r="A33" s="75" t="s">
        <v>68</v>
      </c>
      <c r="B33" s="55"/>
      <c r="C33" s="55"/>
      <c r="D33" s="55"/>
      <c r="E33" s="71">
        <f t="shared" ref="E33:R33" si="9" xml:space="preserve"> E29 + E32</f>
        <v>3345.3463235294121</v>
      </c>
      <c r="F33" s="56">
        <f t="shared" si="9"/>
        <v>2224.6463529411767</v>
      </c>
      <c r="G33" s="56">
        <f t="shared" si="9"/>
        <v>1135.5957647058822</v>
      </c>
      <c r="H33" s="56">
        <f t="shared" si="9"/>
        <v>381.28423529411765</v>
      </c>
      <c r="I33" s="56">
        <f t="shared" si="9"/>
        <v>1353.6056470588237</v>
      </c>
      <c r="J33" s="56">
        <f t="shared" si="9"/>
        <v>11.952588235294117</v>
      </c>
      <c r="K33" s="56">
        <f t="shared" si="9"/>
        <v>8002.3410588235292</v>
      </c>
      <c r="L33" s="67">
        <f t="shared" si="9"/>
        <v>1254.5048713235296</v>
      </c>
      <c r="M33" s="57">
        <f t="shared" si="9"/>
        <v>834.24238235294115</v>
      </c>
      <c r="N33" s="57">
        <f t="shared" si="9"/>
        <v>425.84841176470582</v>
      </c>
      <c r="O33" s="57">
        <f t="shared" si="9"/>
        <v>142.98158823529411</v>
      </c>
      <c r="P33" s="57">
        <f t="shared" si="9"/>
        <v>507.60211764705883</v>
      </c>
      <c r="Q33" s="57">
        <f t="shared" si="9"/>
        <v>4.4822205882352932</v>
      </c>
      <c r="R33" s="57">
        <f t="shared" si="9"/>
        <v>3000.8778970588237</v>
      </c>
    </row>
    <row r="35" spans="1:18" ht="15.75" x14ac:dyDescent="0.25">
      <c r="A35" s="6" t="s">
        <v>5</v>
      </c>
    </row>
    <row r="36" spans="1:18" ht="15.75" x14ac:dyDescent="0.25">
      <c r="A36" s="6"/>
      <c r="E36" s="61" t="s">
        <v>61</v>
      </c>
      <c r="F36" s="61"/>
      <c r="G36" s="60"/>
      <c r="L36" s="61" t="s">
        <v>62</v>
      </c>
    </row>
    <row r="37" spans="1:18" ht="15.75" x14ac:dyDescent="0.25">
      <c r="A37" s="6"/>
      <c r="E37" s="76" t="s">
        <v>31</v>
      </c>
      <c r="F37" s="44" t="s">
        <v>15</v>
      </c>
      <c r="G37" s="44" t="s">
        <v>32</v>
      </c>
      <c r="H37" s="44" t="s">
        <v>33</v>
      </c>
      <c r="I37" s="44" t="s">
        <v>34</v>
      </c>
      <c r="J37" s="44" t="s">
        <v>35</v>
      </c>
      <c r="K37" s="44" t="s">
        <v>20</v>
      </c>
      <c r="L37" s="76" t="s">
        <v>31</v>
      </c>
      <c r="M37" s="44" t="s">
        <v>15</v>
      </c>
      <c r="N37" s="44" t="s">
        <v>32</v>
      </c>
      <c r="O37" s="44" t="s">
        <v>33</v>
      </c>
      <c r="P37" s="44" t="s">
        <v>34</v>
      </c>
      <c r="Q37" s="44" t="s">
        <v>35</v>
      </c>
      <c r="R37" s="44" t="s">
        <v>20</v>
      </c>
    </row>
    <row r="38" spans="1:18" x14ac:dyDescent="0.25">
      <c r="A38" s="77" t="s">
        <v>66</v>
      </c>
      <c r="B38" s="51"/>
      <c r="C38" s="51"/>
      <c r="D38" s="51"/>
      <c r="E38" s="81">
        <f xml:space="preserve"> 'Crop Data'!B109</f>
        <v>3966</v>
      </c>
      <c r="F38" s="82">
        <f xml:space="preserve"> 'Crop Data'!C109</f>
        <v>1885.9</v>
      </c>
      <c r="G38" s="82">
        <f xml:space="preserve"> 'Crop Data'!D109</f>
        <v>2103.8000000000002</v>
      </c>
      <c r="H38" s="82">
        <f xml:space="preserve"> 'Crop Data'!E109</f>
        <v>242.8</v>
      </c>
      <c r="I38" s="82">
        <f xml:space="preserve"> 'Crop Data'!F109</f>
        <v>2002.7</v>
      </c>
      <c r="J38" s="82">
        <f xml:space="preserve"> 'Crop Data'!G109</f>
        <v>22.7746</v>
      </c>
      <c r="K38" s="83">
        <f xml:space="preserve"> 'Crop Data'!H109</f>
        <v>9885.0745999999999</v>
      </c>
      <c r="L38" s="63">
        <f xml:space="preserve"> E38 * $C$21 * 0.001</f>
        <v>1090.6500000000001</v>
      </c>
      <c r="M38" s="54">
        <f t="shared" ref="M38:R40" si="10" xml:space="preserve"> F38 * $C$21 * 0.001</f>
        <v>518.62250000000006</v>
      </c>
      <c r="N38" s="54">
        <f t="shared" si="10"/>
        <v>578.54499999999996</v>
      </c>
      <c r="O38" s="54">
        <f t="shared" si="10"/>
        <v>66.77</v>
      </c>
      <c r="P38" s="54">
        <f t="shared" si="10"/>
        <v>550.74250000000006</v>
      </c>
      <c r="Q38" s="54">
        <f t="shared" si="10"/>
        <v>6.2630149999999993</v>
      </c>
      <c r="R38" s="54">
        <f t="shared" si="10"/>
        <v>2718.3955150000002</v>
      </c>
    </row>
    <row r="39" spans="1:18" x14ac:dyDescent="0.25">
      <c r="A39" s="78" t="s">
        <v>60</v>
      </c>
      <c r="B39" s="49"/>
      <c r="C39" s="49"/>
      <c r="D39" s="49"/>
      <c r="E39" s="68">
        <f t="shared" ref="E39:K39" si="11" xml:space="preserve"> E$38 * $B$13 * 0.01 / (1 - $B$13 * 0.01)</f>
        <v>699.88235294117646</v>
      </c>
      <c r="F39" s="53">
        <f t="shared" si="11"/>
        <v>332.80588235294118</v>
      </c>
      <c r="G39" s="53">
        <f t="shared" si="11"/>
        <v>371.25882352941181</v>
      </c>
      <c r="H39" s="53">
        <f t="shared" si="11"/>
        <v>42.847058823529416</v>
      </c>
      <c r="I39" s="53">
        <f t="shared" si="11"/>
        <v>353.41764705882355</v>
      </c>
      <c r="J39" s="53">
        <f t="shared" si="11"/>
        <v>4.0190470588235296</v>
      </c>
      <c r="K39" s="84">
        <f t="shared" si="11"/>
        <v>1744.4249294117649</v>
      </c>
      <c r="L39" s="64">
        <f xml:space="preserve"> E39 * $C$21 * 0.001</f>
        <v>192.46764705882353</v>
      </c>
      <c r="M39" s="16">
        <f t="shared" si="10"/>
        <v>91.521617647058832</v>
      </c>
      <c r="N39" s="16">
        <f t="shared" si="10"/>
        <v>102.09617647058826</v>
      </c>
      <c r="O39" s="16">
        <f t="shared" si="10"/>
        <v>11.78294117647059</v>
      </c>
      <c r="P39" s="16">
        <f t="shared" si="10"/>
        <v>97.189852941176483</v>
      </c>
      <c r="Q39" s="16">
        <f t="shared" si="10"/>
        <v>1.1052379411764708</v>
      </c>
      <c r="R39" s="16">
        <f t="shared" si="10"/>
        <v>479.71685558823538</v>
      </c>
    </row>
    <row r="40" spans="1:18" x14ac:dyDescent="0.25">
      <c r="A40" s="79" t="s">
        <v>64</v>
      </c>
      <c r="B40" s="50"/>
      <c r="C40" s="50"/>
      <c r="D40" s="50"/>
      <c r="E40" s="69">
        <f t="shared" ref="E40:K40" si="12" xml:space="preserve"> E$38 * $C$13 * 0.01 / (1 - $B$13 * 0.01)</f>
        <v>93.317647058823539</v>
      </c>
      <c r="F40" s="46">
        <f t="shared" si="12"/>
        <v>44.374117647058831</v>
      </c>
      <c r="G40" s="46">
        <f t="shared" si="12"/>
        <v>49.501176470588248</v>
      </c>
      <c r="H40" s="46">
        <f t="shared" si="12"/>
        <v>5.7129411764705891</v>
      </c>
      <c r="I40" s="46">
        <f t="shared" si="12"/>
        <v>47.122352941176473</v>
      </c>
      <c r="J40" s="46">
        <f t="shared" si="12"/>
        <v>0.53587294117647066</v>
      </c>
      <c r="K40" s="85">
        <f t="shared" si="12"/>
        <v>232.58999058823531</v>
      </c>
      <c r="L40" s="65">
        <f xml:space="preserve"> E40 * $C$21 * 0.001</f>
        <v>25.662352941176472</v>
      </c>
      <c r="M40" s="15">
        <f t="shared" si="10"/>
        <v>12.202882352941179</v>
      </c>
      <c r="N40" s="15">
        <f t="shared" si="10"/>
        <v>13.612823529411768</v>
      </c>
      <c r="O40" s="15">
        <f t="shared" si="10"/>
        <v>1.5710588235294121</v>
      </c>
      <c r="P40" s="15">
        <f t="shared" si="10"/>
        <v>12.95864705882353</v>
      </c>
      <c r="Q40" s="15">
        <f t="shared" si="10"/>
        <v>0.14736505882352943</v>
      </c>
      <c r="R40" s="15">
        <f t="shared" si="10"/>
        <v>63.962247411764707</v>
      </c>
    </row>
    <row r="41" spans="1:18" x14ac:dyDescent="0.25">
      <c r="A41" s="80" t="s">
        <v>67</v>
      </c>
      <c r="B41" s="51"/>
      <c r="C41" s="51"/>
      <c r="D41" s="51"/>
      <c r="E41" s="70">
        <f t="shared" ref="E41:R41" si="13" xml:space="preserve"> E39 - E40</f>
        <v>606.56470588235288</v>
      </c>
      <c r="F41" s="58">
        <f t="shared" si="13"/>
        <v>288.43176470588236</v>
      </c>
      <c r="G41" s="58">
        <f t="shared" si="13"/>
        <v>321.75764705882358</v>
      </c>
      <c r="H41" s="58">
        <f t="shared" si="13"/>
        <v>37.134117647058829</v>
      </c>
      <c r="I41" s="58">
        <f t="shared" si="13"/>
        <v>306.29529411764707</v>
      </c>
      <c r="J41" s="58">
        <f t="shared" si="13"/>
        <v>3.4831741176470592</v>
      </c>
      <c r="K41" s="58">
        <f t="shared" si="13"/>
        <v>1511.8349388235297</v>
      </c>
      <c r="L41" s="66">
        <f t="shared" si="13"/>
        <v>166.80529411764707</v>
      </c>
      <c r="M41" s="48">
        <f t="shared" si="13"/>
        <v>79.318735294117658</v>
      </c>
      <c r="N41" s="48">
        <f t="shared" si="13"/>
        <v>88.483352941176491</v>
      </c>
      <c r="O41" s="48">
        <f t="shared" si="13"/>
        <v>10.211882352941178</v>
      </c>
      <c r="P41" s="48">
        <f t="shared" si="13"/>
        <v>84.231205882352953</v>
      </c>
      <c r="Q41" s="48">
        <f t="shared" si="13"/>
        <v>0.95787288235294132</v>
      </c>
      <c r="R41" s="48">
        <f t="shared" si="13"/>
        <v>415.7546081764707</v>
      </c>
    </row>
    <row r="43" spans="1:18" ht="15.75" x14ac:dyDescent="0.25">
      <c r="A43" s="6" t="s">
        <v>36</v>
      </c>
    </row>
    <row r="44" spans="1:18" ht="15.75" x14ac:dyDescent="0.25">
      <c r="A44" s="6"/>
      <c r="E44" s="61" t="s">
        <v>61</v>
      </c>
      <c r="F44" s="61"/>
      <c r="G44" s="60"/>
      <c r="L44" s="61" t="s">
        <v>62</v>
      </c>
    </row>
    <row r="45" spans="1:18" ht="15.75" x14ac:dyDescent="0.25">
      <c r="A45" s="6"/>
      <c r="E45" s="86" t="s">
        <v>31</v>
      </c>
      <c r="F45" s="52" t="s">
        <v>15</v>
      </c>
      <c r="G45" s="52" t="s">
        <v>32</v>
      </c>
      <c r="H45" s="52" t="s">
        <v>33</v>
      </c>
      <c r="I45" s="52" t="s">
        <v>34</v>
      </c>
      <c r="J45" s="52" t="s">
        <v>35</v>
      </c>
      <c r="K45" s="52" t="s">
        <v>20</v>
      </c>
      <c r="L45" s="86" t="s">
        <v>31</v>
      </c>
      <c r="M45" s="52" t="s">
        <v>15</v>
      </c>
      <c r="N45" s="52" t="s">
        <v>32</v>
      </c>
      <c r="O45" s="52" t="s">
        <v>33</v>
      </c>
      <c r="P45" s="52" t="s">
        <v>34</v>
      </c>
      <c r="Q45" s="52" t="s">
        <v>35</v>
      </c>
      <c r="R45" s="52" t="s">
        <v>20</v>
      </c>
    </row>
    <row r="46" spans="1:18" x14ac:dyDescent="0.25">
      <c r="A46" s="87" t="s">
        <v>66</v>
      </c>
      <c r="B46" s="88"/>
      <c r="C46" s="88"/>
      <c r="D46" s="88"/>
      <c r="E46" s="81">
        <f xml:space="preserve"> E26 + E38</f>
        <v>12817.5</v>
      </c>
      <c r="F46" s="82">
        <f xml:space="preserve"> F26 + F38</f>
        <v>8567.7000000000007</v>
      </c>
      <c r="G46" s="82">
        <f xml:space="preserve"> G26 + G38</f>
        <v>5514.6</v>
      </c>
      <c r="H46" s="82">
        <f xml:space="preserve"> H26 + H38</f>
        <v>1388</v>
      </c>
      <c r="I46" s="82">
        <f xml:space="preserve"> I26 + I38</f>
        <v>6068.3</v>
      </c>
      <c r="J46" s="82">
        <f xml:space="preserve"> J26 + J38</f>
        <v>58.674599999999998</v>
      </c>
      <c r="K46" s="83">
        <f xml:space="preserve"> K26 + K38</f>
        <v>33920.374599999996</v>
      </c>
      <c r="L46" s="81">
        <f xml:space="preserve"> L26 + L38</f>
        <v>4409.9624999999996</v>
      </c>
      <c r="M46" s="82">
        <f xml:space="preserve"> M26 + M38</f>
        <v>3024.2975000000001</v>
      </c>
      <c r="N46" s="82">
        <f xml:space="preserve"> N26 + N38</f>
        <v>1857.5949999999998</v>
      </c>
      <c r="O46" s="82">
        <f xml:space="preserve"> O26 + O38</f>
        <v>496.21999999999997</v>
      </c>
      <c r="P46" s="82">
        <f xml:space="preserve"> P26 + P38</f>
        <v>2075.3425000000002</v>
      </c>
      <c r="Q46" s="82">
        <f xml:space="preserve"> Q26 + Q38</f>
        <v>19.725515000000001</v>
      </c>
      <c r="R46" s="82">
        <f xml:space="preserve"> R26 + R38</f>
        <v>11731.633015000001</v>
      </c>
    </row>
    <row r="47" spans="1:18" x14ac:dyDescent="0.25">
      <c r="A47" s="89" t="s">
        <v>60</v>
      </c>
      <c r="B47" s="90"/>
      <c r="C47" s="90"/>
      <c r="D47" s="90"/>
      <c r="E47" s="68">
        <f xml:space="preserve"> E27 + E39</f>
        <v>2261.9117647058824</v>
      </c>
      <c r="F47" s="53">
        <f xml:space="preserve"> F27 + F39</f>
        <v>1511.9470588235295</v>
      </c>
      <c r="G47" s="53">
        <f xml:space="preserve"> G27 + G39</f>
        <v>973.16470588235302</v>
      </c>
      <c r="H47" s="53">
        <f xml:space="preserve"> H27 + H39</f>
        <v>244.94117647058823</v>
      </c>
      <c r="I47" s="53">
        <f xml:space="preserve"> I27 + I39</f>
        <v>1070.8764705882354</v>
      </c>
      <c r="J47" s="53">
        <f xml:space="preserve"> J27 + J39</f>
        <v>10.354341176470587</v>
      </c>
      <c r="K47" s="84">
        <f xml:space="preserve"> K27 + K39</f>
        <v>5985.94845882353</v>
      </c>
      <c r="L47" s="64">
        <f xml:space="preserve"> L27 + L39</f>
        <v>778.22867647058843</v>
      </c>
      <c r="M47" s="16">
        <f xml:space="preserve"> M27 + M39</f>
        <v>533.6995588235294</v>
      </c>
      <c r="N47" s="16">
        <f xml:space="preserve"> N27 + N39</f>
        <v>327.81088235294118</v>
      </c>
      <c r="O47" s="16">
        <f xml:space="preserve"> O27 + O39</f>
        <v>87.568235294117656</v>
      </c>
      <c r="P47" s="16">
        <f xml:space="preserve"> P27 + P39</f>
        <v>366.23691176470589</v>
      </c>
      <c r="Q47" s="16">
        <f xml:space="preserve"> Q27 + Q39</f>
        <v>3.4809732352941176</v>
      </c>
      <c r="R47" s="16">
        <f xml:space="preserve"> R27 + R39</f>
        <v>2070.2881791176469</v>
      </c>
    </row>
    <row r="48" spans="1:18" x14ac:dyDescent="0.25">
      <c r="A48" s="91" t="s">
        <v>64</v>
      </c>
      <c r="B48" s="92"/>
      <c r="C48" s="92"/>
      <c r="D48" s="92"/>
      <c r="E48" s="69">
        <f xml:space="preserve"> E28 + E40</f>
        <v>301.58823529411768</v>
      </c>
      <c r="F48" s="46">
        <f xml:space="preserve"> F28 + F40</f>
        <v>201.59294117647059</v>
      </c>
      <c r="G48" s="46">
        <f xml:space="preserve"> G28 + G40</f>
        <v>129.75529411764708</v>
      </c>
      <c r="H48" s="46">
        <f xml:space="preserve"> H28 + H40</f>
        <v>32.658823529411762</v>
      </c>
      <c r="I48" s="46">
        <f xml:space="preserve"> I28 + I40</f>
        <v>142.7835294117647</v>
      </c>
      <c r="J48" s="46">
        <f xml:space="preserve"> J28 + J40</f>
        <v>1.3805788235294119</v>
      </c>
      <c r="K48" s="85">
        <f xml:space="preserve"> K28 + K40</f>
        <v>798.12646117647068</v>
      </c>
      <c r="L48" s="65">
        <f xml:space="preserve"> L28 + L40</f>
        <v>103.76382352941178</v>
      </c>
      <c r="M48" s="15">
        <f xml:space="preserve"> M28 + M40</f>
        <v>71.159941176470596</v>
      </c>
      <c r="N48" s="15">
        <f xml:space="preserve"> N28 + N40</f>
        <v>43.708117647058835</v>
      </c>
      <c r="O48" s="15">
        <f xml:space="preserve"> O28 + O40</f>
        <v>11.675764705882353</v>
      </c>
      <c r="P48" s="15">
        <f xml:space="preserve"> P28 + P40</f>
        <v>48.83158823529412</v>
      </c>
      <c r="Q48" s="15">
        <f xml:space="preserve"> Q28 + Q40</f>
        <v>0.46412976470588241</v>
      </c>
      <c r="R48" s="15">
        <f xml:space="preserve"> R28 + R40</f>
        <v>276.03842388235296</v>
      </c>
    </row>
    <row r="49" spans="1:18" x14ac:dyDescent="0.25">
      <c r="A49" s="93" t="s">
        <v>67</v>
      </c>
      <c r="B49" s="88"/>
      <c r="C49" s="88"/>
      <c r="D49" s="88"/>
      <c r="E49" s="70">
        <f t="shared" ref="E49:R49" si="14" xml:space="preserve"> E47 - E48</f>
        <v>1960.3235294117649</v>
      </c>
      <c r="F49" s="58">
        <f t="shared" si="14"/>
        <v>1310.354117647059</v>
      </c>
      <c r="G49" s="58">
        <f t="shared" si="14"/>
        <v>843.40941176470596</v>
      </c>
      <c r="H49" s="58">
        <f t="shared" si="14"/>
        <v>212.28235294117647</v>
      </c>
      <c r="I49" s="58">
        <f t="shared" si="14"/>
        <v>928.09294117647073</v>
      </c>
      <c r="J49" s="58">
        <f t="shared" si="14"/>
        <v>8.9737623529411756</v>
      </c>
      <c r="K49" s="58">
        <f t="shared" si="14"/>
        <v>5187.8219976470591</v>
      </c>
      <c r="L49" s="66">
        <f t="shared" si="14"/>
        <v>674.46485294117667</v>
      </c>
      <c r="M49" s="48">
        <f t="shared" si="14"/>
        <v>462.53961764705878</v>
      </c>
      <c r="N49" s="48">
        <f t="shared" si="14"/>
        <v>284.10276470588235</v>
      </c>
      <c r="O49" s="48">
        <f t="shared" si="14"/>
        <v>75.892470588235298</v>
      </c>
      <c r="P49" s="48">
        <f t="shared" si="14"/>
        <v>317.40532352941176</v>
      </c>
      <c r="Q49" s="48">
        <f t="shared" si="14"/>
        <v>3.0168434705882352</v>
      </c>
      <c r="R49" s="48">
        <f t="shared" si="14"/>
        <v>1794.2497552352938</v>
      </c>
    </row>
    <row r="50" spans="1:18" x14ac:dyDescent="0.25">
      <c r="A50" s="89" t="s">
        <v>63</v>
      </c>
      <c r="B50" s="90"/>
      <c r="C50" s="90"/>
      <c r="D50" s="90"/>
      <c r="E50" s="68">
        <f xml:space="preserve"> E30</f>
        <v>2212.875</v>
      </c>
      <c r="F50" s="53">
        <f t="shared" ref="F50:K50" si="15" xml:space="preserve"> F30</f>
        <v>1336.36</v>
      </c>
      <c r="G50" s="53">
        <f t="shared" si="15"/>
        <v>682.16</v>
      </c>
      <c r="H50" s="53">
        <f t="shared" si="15"/>
        <v>229.04</v>
      </c>
      <c r="I50" s="53">
        <f t="shared" si="15"/>
        <v>813.12</v>
      </c>
      <c r="J50" s="53">
        <f t="shared" si="15"/>
        <v>7.18</v>
      </c>
      <c r="K50" s="84">
        <f t="shared" si="15"/>
        <v>4807.0600000000004</v>
      </c>
      <c r="L50" s="64">
        <f xml:space="preserve"> L30</f>
        <v>829.828125</v>
      </c>
      <c r="M50" s="16">
        <f t="shared" ref="M50:R50" si="16" xml:space="preserve"> M30</f>
        <v>501.13499999999993</v>
      </c>
      <c r="N50" s="16">
        <f t="shared" si="16"/>
        <v>255.81</v>
      </c>
      <c r="O50" s="16">
        <f t="shared" si="16"/>
        <v>85.89</v>
      </c>
      <c r="P50" s="16">
        <f t="shared" si="16"/>
        <v>304.92</v>
      </c>
      <c r="Q50" s="16">
        <f t="shared" si="16"/>
        <v>2.6924999999999999</v>
      </c>
      <c r="R50" s="16">
        <f t="shared" si="16"/>
        <v>1802.6475000000003</v>
      </c>
    </row>
    <row r="51" spans="1:18" x14ac:dyDescent="0.25">
      <c r="A51" s="91" t="s">
        <v>65</v>
      </c>
      <c r="B51" s="92"/>
      <c r="C51" s="92"/>
      <c r="D51" s="92"/>
      <c r="E51" s="69">
        <f xml:space="preserve"> E31</f>
        <v>221.28749999999999</v>
      </c>
      <c r="F51" s="165">
        <f t="shared" ref="F51:K51" si="17" xml:space="preserve"> F31</f>
        <v>133.636</v>
      </c>
      <c r="G51" s="165">
        <f t="shared" si="17"/>
        <v>68.216000000000008</v>
      </c>
      <c r="H51" s="165">
        <f t="shared" si="17"/>
        <v>22.904</v>
      </c>
      <c r="I51" s="165">
        <f t="shared" si="17"/>
        <v>81.311999999999998</v>
      </c>
      <c r="J51" s="165">
        <f t="shared" si="17"/>
        <v>0.71799999999999997</v>
      </c>
      <c r="K51" s="85">
        <f t="shared" si="17"/>
        <v>480.70599999999996</v>
      </c>
      <c r="L51" s="65">
        <f xml:space="preserve"> L31</f>
        <v>82.982812500000009</v>
      </c>
      <c r="M51" s="15">
        <f t="shared" ref="M51:R51" si="18" xml:space="preserve"> M31</f>
        <v>50.113500000000002</v>
      </c>
      <c r="N51" s="15">
        <f t="shared" si="18"/>
        <v>25.581000000000003</v>
      </c>
      <c r="O51" s="15">
        <f t="shared" si="18"/>
        <v>8.5890000000000004</v>
      </c>
      <c r="P51" s="15">
        <f t="shared" si="18"/>
        <v>30.492000000000001</v>
      </c>
      <c r="Q51" s="15">
        <f t="shared" si="18"/>
        <v>0.26924999999999999</v>
      </c>
      <c r="R51" s="15">
        <f t="shared" si="18"/>
        <v>180.26474999999996</v>
      </c>
    </row>
    <row r="52" spans="1:18" x14ac:dyDescent="0.25">
      <c r="A52" s="93" t="s">
        <v>69</v>
      </c>
      <c r="B52" s="88"/>
      <c r="C52" s="88"/>
      <c r="D52" s="88"/>
      <c r="E52" s="70">
        <f t="shared" ref="E52:R52" si="19" xml:space="preserve"> E50 - E51</f>
        <v>1991.5875000000001</v>
      </c>
      <c r="F52" s="58">
        <f t="shared" si="19"/>
        <v>1202.7239999999999</v>
      </c>
      <c r="G52" s="58">
        <f t="shared" si="19"/>
        <v>613.94399999999996</v>
      </c>
      <c r="H52" s="58">
        <f t="shared" si="19"/>
        <v>206.136</v>
      </c>
      <c r="I52" s="58">
        <f t="shared" si="19"/>
        <v>731.80799999999999</v>
      </c>
      <c r="J52" s="58">
        <f t="shared" si="19"/>
        <v>6.4619999999999997</v>
      </c>
      <c r="K52" s="58">
        <f t="shared" si="19"/>
        <v>4326.3540000000003</v>
      </c>
      <c r="L52" s="66">
        <f t="shared" si="19"/>
        <v>746.84531249999998</v>
      </c>
      <c r="M52" s="48">
        <f t="shared" si="19"/>
        <v>451.02149999999995</v>
      </c>
      <c r="N52" s="48">
        <f t="shared" si="19"/>
        <v>230.22899999999998</v>
      </c>
      <c r="O52" s="48">
        <f t="shared" si="19"/>
        <v>77.301000000000002</v>
      </c>
      <c r="P52" s="48">
        <f t="shared" si="19"/>
        <v>274.428</v>
      </c>
      <c r="Q52" s="48">
        <f t="shared" si="19"/>
        <v>2.4232499999999999</v>
      </c>
      <c r="R52" s="48">
        <f t="shared" si="19"/>
        <v>1622.3827500000002</v>
      </c>
    </row>
    <row r="53" spans="1:18" x14ac:dyDescent="0.25">
      <c r="A53" s="94" t="s">
        <v>68</v>
      </c>
      <c r="B53" s="95"/>
      <c r="C53" s="95"/>
      <c r="D53" s="95"/>
      <c r="E53" s="71">
        <f t="shared" ref="E53:R53" si="20" xml:space="preserve"> E49 + E52</f>
        <v>3951.911029411765</v>
      </c>
      <c r="F53" s="56">
        <f t="shared" si="20"/>
        <v>2513.0781176470591</v>
      </c>
      <c r="G53" s="56">
        <f t="shared" si="20"/>
        <v>1457.3534117647059</v>
      </c>
      <c r="H53" s="56">
        <f t="shared" si="20"/>
        <v>418.41835294117647</v>
      </c>
      <c r="I53" s="56">
        <f t="shared" si="20"/>
        <v>1659.9009411764707</v>
      </c>
      <c r="J53" s="56">
        <f t="shared" si="20"/>
        <v>15.435762352941175</v>
      </c>
      <c r="K53" s="56">
        <f t="shared" si="20"/>
        <v>9514.1759976470603</v>
      </c>
      <c r="L53" s="67">
        <f t="shared" si="20"/>
        <v>1421.3101654411767</v>
      </c>
      <c r="M53" s="57">
        <f t="shared" si="20"/>
        <v>913.56111764705872</v>
      </c>
      <c r="N53" s="57">
        <f t="shared" si="20"/>
        <v>514.33176470588228</v>
      </c>
      <c r="O53" s="57">
        <f t="shared" si="20"/>
        <v>153.1934705882353</v>
      </c>
      <c r="P53" s="57">
        <f t="shared" si="20"/>
        <v>591.8333235294117</v>
      </c>
      <c r="Q53" s="57">
        <f t="shared" si="20"/>
        <v>5.4400934705882351</v>
      </c>
      <c r="R53" s="57">
        <f t="shared" si="20"/>
        <v>3416.632505235294</v>
      </c>
    </row>
  </sheetData>
  <mergeCells count="1">
    <mergeCell ref="C4:D4"/>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A3D06-A583-4AE2-BD62-59C289EA2FD1}">
  <sheetPr codeName="Sheet4">
    <tabColor theme="6" tint="-0.499984740745262"/>
  </sheetPr>
  <dimension ref="A1:L70"/>
  <sheetViews>
    <sheetView workbookViewId="0">
      <selection activeCell="A42" sqref="A42:XFD42"/>
    </sheetView>
  </sheetViews>
  <sheetFormatPr defaultRowHeight="15" x14ac:dyDescent="0.25"/>
  <cols>
    <col min="1" max="1" width="9.5703125" style="4" customWidth="1"/>
    <col min="2" max="2" width="9.28515625" style="4" customWidth="1"/>
    <col min="3" max="3" width="9.140625" style="4"/>
    <col min="4" max="4" width="10.42578125" style="4" customWidth="1"/>
    <col min="5" max="5" width="10" style="4" customWidth="1"/>
    <col min="6" max="6" width="9.140625" style="4"/>
    <col min="7" max="7" width="9.7109375" style="4" customWidth="1"/>
    <col min="8" max="8" width="10.5703125" style="4" customWidth="1"/>
    <col min="9" max="9" width="9.5703125" style="4" customWidth="1"/>
    <col min="10" max="10" width="11" style="4" customWidth="1"/>
    <col min="11" max="11" width="11.28515625" style="4" customWidth="1"/>
    <col min="12" max="12" width="10.7109375" style="4" customWidth="1"/>
    <col min="13" max="13" width="9.140625" style="4" customWidth="1"/>
    <col min="14" max="16384" width="9.140625" style="4"/>
  </cols>
  <sheetData>
    <row r="1" spans="1:6" s="7" customFormat="1" ht="26.25" x14ac:dyDescent="0.2">
      <c r="A1" s="11" t="s">
        <v>101</v>
      </c>
    </row>
    <row r="2" spans="1:6" ht="6.75" customHeight="1" x14ac:dyDescent="0.25"/>
    <row r="3" spans="1:6" ht="15.75" x14ac:dyDescent="0.25">
      <c r="A3" s="6" t="s">
        <v>102</v>
      </c>
    </row>
    <row r="4" spans="1:6" ht="31.5" customHeight="1" x14ac:dyDescent="0.25">
      <c r="A4" s="121" t="s">
        <v>1</v>
      </c>
      <c r="B4" s="121" t="s">
        <v>101</v>
      </c>
    </row>
    <row r="5" spans="1:6" x14ac:dyDescent="0.25">
      <c r="A5" s="122"/>
      <c r="B5" s="128" t="s">
        <v>149</v>
      </c>
    </row>
    <row r="6" spans="1:6" x14ac:dyDescent="0.25">
      <c r="A6" s="41">
        <v>2024</v>
      </c>
      <c r="B6" s="125">
        <f ca="1" xml:space="preserve"> K52</f>
        <v>0</v>
      </c>
    </row>
    <row r="7" spans="1:6" x14ac:dyDescent="0.25">
      <c r="A7" s="41">
        <v>2026</v>
      </c>
      <c r="B7" s="125">
        <f ca="1" xml:space="preserve"> K54</f>
        <v>2.7640594999999992</v>
      </c>
    </row>
    <row r="8" spans="1:6" x14ac:dyDescent="0.25">
      <c r="A8" s="41">
        <v>2028</v>
      </c>
      <c r="B8" s="125">
        <f ca="1">K56</f>
        <v>38.511675079000007</v>
      </c>
    </row>
    <row r="9" spans="1:6" x14ac:dyDescent="0.25">
      <c r="A9" s="41">
        <v>2030</v>
      </c>
      <c r="B9" s="125">
        <f ca="1" xml:space="preserve"> K58</f>
        <v>83.633678945000014</v>
      </c>
    </row>
    <row r="10" spans="1:6" x14ac:dyDescent="0.25">
      <c r="A10" s="41">
        <v>2032</v>
      </c>
      <c r="B10" s="125">
        <f ca="1" xml:space="preserve"> K60</f>
        <v>112.204446225</v>
      </c>
    </row>
    <row r="11" spans="1:6" x14ac:dyDescent="0.25">
      <c r="A11" s="41">
        <v>2034</v>
      </c>
      <c r="B11" s="125">
        <f ca="1" xml:space="preserve"> K62</f>
        <v>133.47743979500001</v>
      </c>
    </row>
    <row r="13" spans="1:6" ht="15.75" x14ac:dyDescent="0.25">
      <c r="A13" s="6" t="s">
        <v>37</v>
      </c>
    </row>
    <row r="14" spans="1:6" x14ac:dyDescent="0.25">
      <c r="A14" s="33"/>
      <c r="B14" s="33"/>
      <c r="C14" s="34" t="s">
        <v>39</v>
      </c>
      <c r="D14" s="36">
        <f xml:space="preserve"> 'Crop Data'!H28</f>
        <v>24035.3</v>
      </c>
      <c r="E14" s="33" t="s">
        <v>14</v>
      </c>
      <c r="F14" s="33"/>
    </row>
    <row r="15" spans="1:6" x14ac:dyDescent="0.25">
      <c r="A15" s="33"/>
      <c r="B15" s="33"/>
      <c r="C15" s="34" t="s">
        <v>40</v>
      </c>
      <c r="D15" s="37">
        <f xml:space="preserve"> 'Crop Data'!H109</f>
        <v>9885.0745999999999</v>
      </c>
      <c r="E15" s="33" t="s">
        <v>14</v>
      </c>
      <c r="F15" s="33"/>
    </row>
    <row r="16" spans="1:6" x14ac:dyDescent="0.25">
      <c r="A16" s="33"/>
      <c r="B16" s="33"/>
      <c r="C16" s="34" t="s">
        <v>48</v>
      </c>
      <c r="D16" s="2">
        <v>5</v>
      </c>
      <c r="E16" s="33" t="s">
        <v>38</v>
      </c>
      <c r="F16" s="33"/>
    </row>
    <row r="17" spans="1:9" x14ac:dyDescent="0.25">
      <c r="A17" s="33"/>
      <c r="B17" s="33"/>
      <c r="C17" s="34" t="s">
        <v>42</v>
      </c>
      <c r="D17" s="2">
        <v>10</v>
      </c>
      <c r="E17" s="33" t="s">
        <v>38</v>
      </c>
      <c r="F17" s="33"/>
    </row>
    <row r="18" spans="1:9" x14ac:dyDescent="0.25">
      <c r="A18" s="33"/>
      <c r="B18" s="33"/>
      <c r="C18" s="34" t="s">
        <v>43</v>
      </c>
      <c r="D18" s="3">
        <v>5</v>
      </c>
      <c r="E18" s="33" t="s">
        <v>38</v>
      </c>
      <c r="F18" s="33"/>
    </row>
    <row r="20" spans="1:9" ht="15.75" x14ac:dyDescent="0.25">
      <c r="A20" s="6" t="s">
        <v>140</v>
      </c>
    </row>
    <row r="21" spans="1:9" x14ac:dyDescent="0.25">
      <c r="C21" s="113"/>
      <c r="D21" s="113"/>
      <c r="E21" s="113"/>
      <c r="F21" s="113"/>
      <c r="G21" s="43">
        <v>2</v>
      </c>
      <c r="H21" s="43">
        <v>2</v>
      </c>
      <c r="I21" s="43">
        <v>2</v>
      </c>
    </row>
    <row r="22" spans="1:9" x14ac:dyDescent="0.25">
      <c r="A22" s="107"/>
      <c r="B22" s="123">
        <v>1</v>
      </c>
      <c r="C22" s="123">
        <v>2</v>
      </c>
      <c r="D22" s="123">
        <v>3</v>
      </c>
      <c r="E22" s="123">
        <v>4</v>
      </c>
    </row>
    <row r="23" spans="1:9" ht="45" x14ac:dyDescent="0.25">
      <c r="A23" s="42" t="s">
        <v>1</v>
      </c>
      <c r="B23" s="42" t="s">
        <v>128</v>
      </c>
      <c r="C23" s="42" t="s">
        <v>127</v>
      </c>
      <c r="D23" s="42" t="s">
        <v>51</v>
      </c>
      <c r="E23" s="42" t="s">
        <v>106</v>
      </c>
      <c r="G23" s="141" t="s">
        <v>143</v>
      </c>
      <c r="H23" s="141" t="s">
        <v>144</v>
      </c>
      <c r="I23" s="141" t="s">
        <v>150</v>
      </c>
    </row>
    <row r="24" spans="1:9" x14ac:dyDescent="0.25">
      <c r="A24" s="42"/>
      <c r="B24" s="42" t="s">
        <v>41</v>
      </c>
      <c r="C24" s="42" t="s">
        <v>41</v>
      </c>
      <c r="D24" s="42" t="s">
        <v>41</v>
      </c>
      <c r="E24" s="42" t="s">
        <v>41</v>
      </c>
      <c r="G24" s="42" t="s">
        <v>41</v>
      </c>
      <c r="H24" s="42" t="s">
        <v>41</v>
      </c>
      <c r="I24" s="42" t="s">
        <v>41</v>
      </c>
    </row>
    <row r="25" spans="1:9" x14ac:dyDescent="0.25">
      <c r="A25" s="124">
        <v>0</v>
      </c>
      <c r="B25" s="120">
        <v>0</v>
      </c>
      <c r="C25" s="120">
        <v>0</v>
      </c>
      <c r="D25" s="120">
        <v>0</v>
      </c>
      <c r="E25" s="30">
        <v>0</v>
      </c>
      <c r="G25" s="147">
        <f t="shared" ref="G25:G44" ca="1" si="0" xml:space="preserve"> OFFSET(A25, 0, $G$21)</f>
        <v>0</v>
      </c>
      <c r="H25" s="146">
        <f ca="1" xml:space="preserve"> OFFSET(A25, 0, $H$21)</f>
        <v>0</v>
      </c>
      <c r="I25" s="145">
        <f ca="1" xml:space="preserve"> OFFSET(A25, 0, $I$21)</f>
        <v>0</v>
      </c>
    </row>
    <row r="26" spans="1:9" x14ac:dyDescent="0.25">
      <c r="A26" s="124">
        <v>1</v>
      </c>
      <c r="B26" s="120">
        <v>0.1</v>
      </c>
      <c r="C26" s="120">
        <v>2.2999999999999998</v>
      </c>
      <c r="D26" s="120">
        <v>4.5</v>
      </c>
      <c r="E26" s="30">
        <v>0.1</v>
      </c>
      <c r="G26" s="147">
        <f t="shared" ca="1" si="0"/>
        <v>2.2999999999999998</v>
      </c>
      <c r="H26" s="146">
        <f t="shared" ref="H26:H44" ca="1" si="1" xml:space="preserve"> OFFSET(A26, 0, $H$21)</f>
        <v>2.2999999999999998</v>
      </c>
      <c r="I26" s="145">
        <f t="shared" ref="I26:I44" ca="1" si="2" xml:space="preserve"> OFFSET(A26, 0, $I$21)</f>
        <v>2.2999999999999998</v>
      </c>
    </row>
    <row r="27" spans="1:9" x14ac:dyDescent="0.25">
      <c r="A27" s="124">
        <v>2</v>
      </c>
      <c r="B27" s="120">
        <v>0.2</v>
      </c>
      <c r="C27" s="120">
        <v>9.6</v>
      </c>
      <c r="D27" s="120">
        <v>19</v>
      </c>
      <c r="E27" s="30">
        <v>0.2</v>
      </c>
      <c r="G27" s="147">
        <f t="shared" ca="1" si="0"/>
        <v>9.6</v>
      </c>
      <c r="H27" s="146">
        <f t="shared" ca="1" si="1"/>
        <v>9.6</v>
      </c>
      <c r="I27" s="145">
        <f t="shared" ca="1" si="2"/>
        <v>9.6</v>
      </c>
    </row>
    <row r="28" spans="1:9" x14ac:dyDescent="0.25">
      <c r="A28" s="124">
        <v>3</v>
      </c>
      <c r="B28" s="120">
        <v>1</v>
      </c>
      <c r="C28" s="120">
        <v>21.5</v>
      </c>
      <c r="D28" s="120">
        <v>42</v>
      </c>
      <c r="E28" s="30">
        <v>0.5</v>
      </c>
      <c r="G28" s="147">
        <f t="shared" ca="1" si="0"/>
        <v>21.5</v>
      </c>
      <c r="H28" s="146">
        <f t="shared" ca="1" si="1"/>
        <v>21.5</v>
      </c>
      <c r="I28" s="145">
        <f t="shared" ca="1" si="2"/>
        <v>21.5</v>
      </c>
    </row>
    <row r="29" spans="1:9" x14ac:dyDescent="0.25">
      <c r="A29" s="124">
        <v>4</v>
      </c>
      <c r="B29" s="120">
        <v>2.5</v>
      </c>
      <c r="C29" s="120">
        <v>28.25</v>
      </c>
      <c r="D29" s="120">
        <v>54</v>
      </c>
      <c r="E29" s="30">
        <v>1</v>
      </c>
      <c r="G29" s="147">
        <f t="shared" ca="1" si="0"/>
        <v>28.25</v>
      </c>
      <c r="H29" s="146">
        <f t="shared" ca="1" si="1"/>
        <v>28.25</v>
      </c>
      <c r="I29" s="145">
        <f t="shared" ca="1" si="2"/>
        <v>28.25</v>
      </c>
    </row>
    <row r="30" spans="1:9" x14ac:dyDescent="0.25">
      <c r="A30" s="124">
        <v>5</v>
      </c>
      <c r="B30" s="120">
        <v>5</v>
      </c>
      <c r="C30" s="120">
        <v>32.5</v>
      </c>
      <c r="D30" s="120">
        <v>60</v>
      </c>
      <c r="E30" s="30">
        <v>2</v>
      </c>
      <c r="G30" s="147">
        <f t="shared" ca="1" si="0"/>
        <v>32.5</v>
      </c>
      <c r="H30" s="146">
        <f t="shared" ca="1" si="1"/>
        <v>32.5</v>
      </c>
      <c r="I30" s="145">
        <f t="shared" ca="1" si="2"/>
        <v>32.5</v>
      </c>
    </row>
    <row r="31" spans="1:9" x14ac:dyDescent="0.25">
      <c r="A31" s="124">
        <v>6</v>
      </c>
      <c r="B31" s="120">
        <v>9</v>
      </c>
      <c r="C31" s="120">
        <v>38.5</v>
      </c>
      <c r="D31" s="120">
        <v>68</v>
      </c>
      <c r="E31" s="30">
        <v>5</v>
      </c>
      <c r="G31" s="147">
        <f t="shared" ca="1" si="0"/>
        <v>38.5</v>
      </c>
      <c r="H31" s="146">
        <f t="shared" ca="1" si="1"/>
        <v>38.5</v>
      </c>
      <c r="I31" s="145">
        <f t="shared" ca="1" si="2"/>
        <v>38.5</v>
      </c>
    </row>
    <row r="32" spans="1:9" x14ac:dyDescent="0.25">
      <c r="A32" s="124">
        <v>7</v>
      </c>
      <c r="B32" s="120">
        <v>15</v>
      </c>
      <c r="C32" s="120">
        <v>41.5</v>
      </c>
      <c r="D32" s="120">
        <v>68</v>
      </c>
      <c r="E32" s="30">
        <v>10</v>
      </c>
      <c r="G32" s="147">
        <f t="shared" ca="1" si="0"/>
        <v>41.5</v>
      </c>
      <c r="H32" s="146">
        <f t="shared" ca="1" si="1"/>
        <v>41.5</v>
      </c>
      <c r="I32" s="145">
        <f t="shared" ca="1" si="2"/>
        <v>41.5</v>
      </c>
    </row>
    <row r="33" spans="1:12" x14ac:dyDescent="0.25">
      <c r="A33" s="124">
        <v>8</v>
      </c>
      <c r="B33" s="120">
        <v>22</v>
      </c>
      <c r="C33" s="120">
        <v>45</v>
      </c>
      <c r="D33" s="120">
        <v>68</v>
      </c>
      <c r="E33" s="30">
        <v>20</v>
      </c>
      <c r="G33" s="147">
        <f t="shared" ca="1" si="0"/>
        <v>45</v>
      </c>
      <c r="H33" s="146">
        <f t="shared" ca="1" si="1"/>
        <v>45</v>
      </c>
      <c r="I33" s="145">
        <f t="shared" ca="1" si="2"/>
        <v>45</v>
      </c>
    </row>
    <row r="34" spans="1:12" x14ac:dyDescent="0.25">
      <c r="A34" s="124">
        <v>9</v>
      </c>
      <c r="B34" s="120">
        <v>30</v>
      </c>
      <c r="C34" s="120">
        <v>49</v>
      </c>
      <c r="D34" s="120">
        <v>68</v>
      </c>
      <c r="E34" s="30">
        <v>30</v>
      </c>
      <c r="G34" s="147">
        <f t="shared" ca="1" si="0"/>
        <v>49</v>
      </c>
      <c r="H34" s="146">
        <f t="shared" ca="1" si="1"/>
        <v>49</v>
      </c>
      <c r="I34" s="145">
        <f t="shared" ca="1" si="2"/>
        <v>49</v>
      </c>
    </row>
    <row r="35" spans="1:12" x14ac:dyDescent="0.25">
      <c r="A35" s="124">
        <v>10</v>
      </c>
      <c r="B35" s="120">
        <v>37</v>
      </c>
      <c r="C35" s="120">
        <v>52.5</v>
      </c>
      <c r="D35" s="120">
        <v>68</v>
      </c>
      <c r="E35" s="30">
        <v>40</v>
      </c>
      <c r="G35" s="147">
        <f t="shared" ca="1" si="0"/>
        <v>52.5</v>
      </c>
      <c r="H35" s="146">
        <f t="shared" ca="1" si="1"/>
        <v>52.5</v>
      </c>
      <c r="I35" s="145">
        <f t="shared" ca="1" si="2"/>
        <v>52.5</v>
      </c>
    </row>
    <row r="36" spans="1:12" x14ac:dyDescent="0.25">
      <c r="A36" s="124">
        <v>11</v>
      </c>
      <c r="B36" s="120">
        <v>44.5</v>
      </c>
      <c r="C36" s="120">
        <v>56.25</v>
      </c>
      <c r="D36" s="120">
        <v>68</v>
      </c>
      <c r="E36" s="30">
        <v>50</v>
      </c>
      <c r="G36" s="147">
        <f t="shared" ca="1" si="0"/>
        <v>56.25</v>
      </c>
      <c r="H36" s="146">
        <f t="shared" ca="1" si="1"/>
        <v>56.25</v>
      </c>
      <c r="I36" s="145">
        <f t="shared" ca="1" si="2"/>
        <v>56.25</v>
      </c>
    </row>
    <row r="37" spans="1:12" x14ac:dyDescent="0.25">
      <c r="A37" s="124">
        <v>12</v>
      </c>
      <c r="B37" s="120">
        <v>50</v>
      </c>
      <c r="C37" s="120">
        <v>59</v>
      </c>
      <c r="D37" s="120">
        <v>68</v>
      </c>
      <c r="E37" s="30">
        <v>55</v>
      </c>
      <c r="G37" s="147">
        <f t="shared" ca="1" si="0"/>
        <v>59</v>
      </c>
      <c r="H37" s="146">
        <f t="shared" ca="1" si="1"/>
        <v>59</v>
      </c>
      <c r="I37" s="145">
        <f t="shared" ca="1" si="2"/>
        <v>59</v>
      </c>
    </row>
    <row r="38" spans="1:12" x14ac:dyDescent="0.25">
      <c r="A38" s="124">
        <v>13</v>
      </c>
      <c r="B38" s="120">
        <v>53.5</v>
      </c>
      <c r="C38" s="120">
        <v>60.75</v>
      </c>
      <c r="D38" s="120">
        <v>68</v>
      </c>
      <c r="E38" s="30">
        <v>60</v>
      </c>
      <c r="G38" s="147">
        <f t="shared" ca="1" si="0"/>
        <v>60.75</v>
      </c>
      <c r="H38" s="146">
        <f t="shared" ca="1" si="1"/>
        <v>60.75</v>
      </c>
      <c r="I38" s="145">
        <f t="shared" ca="1" si="2"/>
        <v>60.75</v>
      </c>
    </row>
    <row r="39" spans="1:12" x14ac:dyDescent="0.25">
      <c r="A39" s="124">
        <v>14</v>
      </c>
      <c r="B39" s="120">
        <v>55.6</v>
      </c>
      <c r="C39" s="120">
        <v>61.8</v>
      </c>
      <c r="D39" s="120">
        <v>68</v>
      </c>
      <c r="E39" s="30">
        <v>65</v>
      </c>
      <c r="G39" s="147">
        <f t="shared" ca="1" si="0"/>
        <v>61.8</v>
      </c>
      <c r="H39" s="146">
        <f t="shared" ca="1" si="1"/>
        <v>61.8</v>
      </c>
      <c r="I39" s="145">
        <f t="shared" ca="1" si="2"/>
        <v>61.8</v>
      </c>
    </row>
    <row r="40" spans="1:12" x14ac:dyDescent="0.25">
      <c r="A40" s="124">
        <v>15</v>
      </c>
      <c r="B40" s="120">
        <v>56.7</v>
      </c>
      <c r="C40" s="120">
        <v>62.35</v>
      </c>
      <c r="D40" s="120">
        <v>68</v>
      </c>
      <c r="E40" s="30">
        <v>70</v>
      </c>
      <c r="G40" s="147">
        <f t="shared" ca="1" si="0"/>
        <v>62.35</v>
      </c>
      <c r="H40" s="146">
        <f t="shared" ca="1" si="1"/>
        <v>62.35</v>
      </c>
      <c r="I40" s="145">
        <f t="shared" ca="1" si="2"/>
        <v>62.35</v>
      </c>
    </row>
    <row r="41" spans="1:12" x14ac:dyDescent="0.25">
      <c r="A41" s="124">
        <v>16</v>
      </c>
      <c r="B41" s="120">
        <v>57.3</v>
      </c>
      <c r="C41" s="120">
        <v>62.65</v>
      </c>
      <c r="D41" s="120">
        <v>68</v>
      </c>
      <c r="E41" s="30">
        <v>70</v>
      </c>
      <c r="G41" s="147">
        <f t="shared" ca="1" si="0"/>
        <v>62.65</v>
      </c>
      <c r="H41" s="146">
        <f t="shared" ca="1" si="1"/>
        <v>62.65</v>
      </c>
      <c r="I41" s="145">
        <f t="shared" ca="1" si="2"/>
        <v>62.65</v>
      </c>
    </row>
    <row r="42" spans="1:12" x14ac:dyDescent="0.25">
      <c r="A42" s="124">
        <v>17</v>
      </c>
      <c r="B42" s="120">
        <v>57.9</v>
      </c>
      <c r="C42" s="120">
        <v>62.95</v>
      </c>
      <c r="D42" s="120">
        <v>68</v>
      </c>
      <c r="E42" s="30">
        <v>70</v>
      </c>
      <c r="G42" s="147">
        <f t="shared" ca="1" si="0"/>
        <v>62.95</v>
      </c>
      <c r="H42" s="146">
        <f t="shared" ca="1" si="1"/>
        <v>62.95</v>
      </c>
      <c r="I42" s="145">
        <f t="shared" ca="1" si="2"/>
        <v>62.95</v>
      </c>
    </row>
    <row r="43" spans="1:12" x14ac:dyDescent="0.25">
      <c r="A43" s="124">
        <v>18</v>
      </c>
      <c r="B43" s="120">
        <v>58.6</v>
      </c>
      <c r="C43" s="120">
        <v>63.3</v>
      </c>
      <c r="D43" s="120">
        <v>68</v>
      </c>
      <c r="E43" s="30">
        <v>70</v>
      </c>
      <c r="G43" s="147">
        <f t="shared" ca="1" si="0"/>
        <v>63.3</v>
      </c>
      <c r="H43" s="146">
        <f t="shared" ca="1" si="1"/>
        <v>63.3</v>
      </c>
      <c r="I43" s="145">
        <f t="shared" ca="1" si="2"/>
        <v>63.3</v>
      </c>
      <c r="L43" s="4" t="s">
        <v>151</v>
      </c>
    </row>
    <row r="44" spans="1:12" x14ac:dyDescent="0.25">
      <c r="A44" s="124">
        <v>19</v>
      </c>
      <c r="B44" s="120">
        <v>60</v>
      </c>
      <c r="C44" s="120">
        <v>64</v>
      </c>
      <c r="D44" s="120">
        <v>68</v>
      </c>
      <c r="E44" s="30">
        <v>70</v>
      </c>
      <c r="G44" s="147">
        <f t="shared" ca="1" si="0"/>
        <v>64</v>
      </c>
      <c r="H44" s="146">
        <f t="shared" ca="1" si="1"/>
        <v>64</v>
      </c>
      <c r="I44" s="145">
        <f t="shared" ca="1" si="2"/>
        <v>64</v>
      </c>
    </row>
    <row r="45" spans="1:12" ht="6" customHeight="1" x14ac:dyDescent="0.25"/>
    <row r="46" spans="1:12" x14ac:dyDescent="0.25">
      <c r="F46" s="107" t="s">
        <v>152</v>
      </c>
      <c r="G46" s="163">
        <v>2026</v>
      </c>
      <c r="H46" s="163">
        <v>2028</v>
      </c>
      <c r="I46" s="163">
        <v>2027</v>
      </c>
    </row>
    <row r="47" spans="1:12" x14ac:dyDescent="0.25">
      <c r="F47" s="107"/>
    </row>
    <row r="48" spans="1:12" ht="15.75" x14ac:dyDescent="0.25">
      <c r="A48" s="6" t="s">
        <v>49</v>
      </c>
    </row>
    <row r="49" spans="1:11" ht="48" customHeight="1" x14ac:dyDescent="0.25">
      <c r="A49" s="150" t="s">
        <v>1</v>
      </c>
      <c r="B49" s="154" t="s">
        <v>141</v>
      </c>
      <c r="C49" s="39" t="s">
        <v>146</v>
      </c>
      <c r="D49" s="155" t="s">
        <v>47</v>
      </c>
      <c r="E49" s="152" t="s">
        <v>142</v>
      </c>
      <c r="F49" s="39" t="s">
        <v>147</v>
      </c>
      <c r="G49" s="150" t="s">
        <v>44</v>
      </c>
      <c r="H49" s="154" t="s">
        <v>145</v>
      </c>
      <c r="I49" s="39" t="s">
        <v>148</v>
      </c>
      <c r="J49" s="155" t="s">
        <v>45</v>
      </c>
      <c r="K49" s="152" t="s">
        <v>50</v>
      </c>
    </row>
    <row r="50" spans="1:11" ht="25.5" x14ac:dyDescent="0.25">
      <c r="A50" s="151"/>
      <c r="B50" s="156" t="s">
        <v>41</v>
      </c>
      <c r="C50" s="40" t="s">
        <v>14</v>
      </c>
      <c r="D50" s="157" t="s">
        <v>46</v>
      </c>
      <c r="E50" s="153" t="s">
        <v>41</v>
      </c>
      <c r="F50" s="40" t="s">
        <v>14</v>
      </c>
      <c r="G50" s="151" t="s">
        <v>46</v>
      </c>
      <c r="H50" s="156" t="s">
        <v>41</v>
      </c>
      <c r="I50" s="40" t="s">
        <v>14</v>
      </c>
      <c r="J50" s="157" t="s">
        <v>46</v>
      </c>
      <c r="K50" s="153" t="s">
        <v>46</v>
      </c>
    </row>
    <row r="51" spans="1:11" x14ac:dyDescent="0.25">
      <c r="A51" s="41">
        <v>2023</v>
      </c>
      <c r="B51" s="158">
        <f ca="1" xml:space="preserve"> IF($A51 &gt;= $G$46, OFFSET($G$25, $A51 - $G$46 + 1, 0), 0)</f>
        <v>0</v>
      </c>
      <c r="C51" s="148">
        <f t="shared" ref="C51:C52" ca="1" si="3" xml:space="preserve"> B51 * $D$14 * 0.01</f>
        <v>0</v>
      </c>
      <c r="D51" s="159">
        <f t="shared" ref="D51:D52" ca="1" si="4" xml:space="preserve"> C51 * $D$16 * 0.001</f>
        <v>0</v>
      </c>
      <c r="E51" s="142">
        <f ca="1" xml:space="preserve"> IF($A51 &gt;= $H$46, OFFSET($H$25, $A51 - $H$46 + 1, 0), 0)</f>
        <v>0</v>
      </c>
      <c r="F51" s="143"/>
      <c r="G51" s="142"/>
      <c r="H51" s="161">
        <f ca="1" xml:space="preserve"> IF($A51 &gt;= $I$46, OFFSET($I$25, $A51 - $I$46 + 1, 0), 0)</f>
        <v>0</v>
      </c>
      <c r="I51" s="144">
        <f t="shared" ref="I51:I54" ca="1" si="5" xml:space="preserve"> H51 * $D$14 * 0.01</f>
        <v>0</v>
      </c>
      <c r="J51" s="162">
        <f t="shared" ref="J51:J54" ca="1" si="6" xml:space="preserve"> I51 * $D$18 * 0.001</f>
        <v>0</v>
      </c>
      <c r="K51" s="149">
        <f t="shared" ref="K51:K70" ca="1" si="7" xml:space="preserve"> D51 + J51 + G51</f>
        <v>0</v>
      </c>
    </row>
    <row r="52" spans="1:11" x14ac:dyDescent="0.25">
      <c r="A52" s="41">
        <v>2024</v>
      </c>
      <c r="B52" s="160">
        <f t="shared" ref="B52:B70" ca="1" si="8" xml:space="preserve"> IF($A52 &gt;= $G$46, OFFSET($G$25, $A52 - $G$46 + 1, 0), 0)</f>
        <v>0</v>
      </c>
      <c r="C52" s="148">
        <f t="shared" ca="1" si="3"/>
        <v>0</v>
      </c>
      <c r="D52" s="159">
        <f t="shared" ca="1" si="4"/>
        <v>0</v>
      </c>
      <c r="E52" s="142">
        <f t="shared" ref="E52:E70" ca="1" si="9" xml:space="preserve"> IF($A52 &gt;= $H$46, OFFSET($H$25, $A52 - $H$46 + 1, 0), 0)</f>
        <v>0</v>
      </c>
      <c r="F52" s="143"/>
      <c r="G52" s="142"/>
      <c r="H52" s="161">
        <f t="shared" ref="H52:H70" ca="1" si="10" xml:space="preserve"> IF($A52 &gt;= $I$46, OFFSET($I$25, $A52 - $I$46 + 1, 0), 0)</f>
        <v>0</v>
      </c>
      <c r="I52" s="144">
        <f t="shared" ca="1" si="5"/>
        <v>0</v>
      </c>
      <c r="J52" s="162">
        <f t="shared" ca="1" si="6"/>
        <v>0</v>
      </c>
      <c r="K52" s="149">
        <f t="shared" ca="1" si="7"/>
        <v>0</v>
      </c>
    </row>
    <row r="53" spans="1:11" x14ac:dyDescent="0.25">
      <c r="A53" s="41">
        <v>2025</v>
      </c>
      <c r="B53" s="160">
        <f t="shared" ca="1" si="8"/>
        <v>0</v>
      </c>
      <c r="C53" s="148">
        <f t="shared" ref="C53:C70" ca="1" si="11" xml:space="preserve"> B53 * $D$14 * 0.01</f>
        <v>0</v>
      </c>
      <c r="D53" s="159">
        <f t="shared" ref="D53:D70" ca="1" si="12" xml:space="preserve"> C53 * $D$16 * 0.001</f>
        <v>0</v>
      </c>
      <c r="E53" s="142">
        <f t="shared" ca="1" si="9"/>
        <v>0</v>
      </c>
      <c r="F53" s="143"/>
      <c r="G53" s="142"/>
      <c r="H53" s="161">
        <f t="shared" ca="1" si="10"/>
        <v>0</v>
      </c>
      <c r="I53" s="144">
        <f t="shared" ca="1" si="5"/>
        <v>0</v>
      </c>
      <c r="J53" s="162">
        <f t="shared" ca="1" si="6"/>
        <v>0</v>
      </c>
      <c r="K53" s="149">
        <f t="shared" ca="1" si="7"/>
        <v>0</v>
      </c>
    </row>
    <row r="54" spans="1:11" x14ac:dyDescent="0.25">
      <c r="A54" s="41">
        <v>2026</v>
      </c>
      <c r="B54" s="160">
        <f t="shared" ca="1" si="8"/>
        <v>2.2999999999999998</v>
      </c>
      <c r="C54" s="148">
        <f t="shared" ca="1" si="11"/>
        <v>552.81189999999992</v>
      </c>
      <c r="D54" s="159">
        <f t="shared" ca="1" si="12"/>
        <v>2.7640594999999992</v>
      </c>
      <c r="E54" s="142">
        <f t="shared" ca="1" si="9"/>
        <v>0</v>
      </c>
      <c r="F54" s="143"/>
      <c r="G54" s="142"/>
      <c r="H54" s="161">
        <f t="shared" ca="1" si="10"/>
        <v>0</v>
      </c>
      <c r="I54" s="144">
        <f t="shared" ca="1" si="5"/>
        <v>0</v>
      </c>
      <c r="J54" s="162">
        <f t="shared" ca="1" si="6"/>
        <v>0</v>
      </c>
      <c r="K54" s="149">
        <f t="shared" ca="1" si="7"/>
        <v>2.7640594999999992</v>
      </c>
    </row>
    <row r="55" spans="1:11" x14ac:dyDescent="0.25">
      <c r="A55" s="41">
        <v>2027</v>
      </c>
      <c r="B55" s="160">
        <f t="shared" ca="1" si="8"/>
        <v>9.6</v>
      </c>
      <c r="C55" s="148">
        <f t="shared" ca="1" si="11"/>
        <v>2307.3887999999997</v>
      </c>
      <c r="D55" s="159">
        <f t="shared" ca="1" si="12"/>
        <v>11.536944</v>
      </c>
      <c r="E55" s="142">
        <f t="shared" ca="1" si="9"/>
        <v>0</v>
      </c>
      <c r="F55" s="143">
        <f t="shared" ref="F55:F70" ca="1" si="13" xml:space="preserve"> E55 * $D$15 * 0.01</f>
        <v>0</v>
      </c>
      <c r="G55" s="142">
        <f t="shared" ref="G55:G70" ca="1" si="14" xml:space="preserve"> F55 * $D$16 * 0.001</f>
        <v>0</v>
      </c>
      <c r="H55" s="161">
        <f t="shared" ca="1" si="10"/>
        <v>2.2999999999999998</v>
      </c>
      <c r="I55" s="144">
        <f ca="1" xml:space="preserve"> H55 * $D$14 * 0.01</f>
        <v>552.81189999999992</v>
      </c>
      <c r="J55" s="162">
        <f ca="1" xml:space="preserve"> I55 * $D$18 * 0.001</f>
        <v>2.7640594999999992</v>
      </c>
      <c r="K55" s="149">
        <f t="shared" ca="1" si="7"/>
        <v>14.3010035</v>
      </c>
    </row>
    <row r="56" spans="1:11" x14ac:dyDescent="0.25">
      <c r="A56" s="41">
        <v>2028</v>
      </c>
      <c r="B56" s="160">
        <f t="shared" ca="1" si="8"/>
        <v>21.5</v>
      </c>
      <c r="C56" s="148">
        <f t="shared" ca="1" si="11"/>
        <v>5167.5895</v>
      </c>
      <c r="D56" s="159">
        <f t="shared" ca="1" si="12"/>
        <v>25.837947500000002</v>
      </c>
      <c r="E56" s="142">
        <f t="shared" ca="1" si="9"/>
        <v>2.2999999999999998</v>
      </c>
      <c r="F56" s="143">
        <f t="shared" ca="1" si="13"/>
        <v>227.35671579999999</v>
      </c>
      <c r="G56" s="142">
        <f t="shared" ca="1" si="14"/>
        <v>1.136783579</v>
      </c>
      <c r="H56" s="161">
        <f t="shared" ca="1" si="10"/>
        <v>9.6</v>
      </c>
      <c r="I56" s="144">
        <f t="shared" ref="I56:I70" ca="1" si="15" xml:space="preserve"> H56 * $D$14 * 0.01</f>
        <v>2307.3887999999997</v>
      </c>
      <c r="J56" s="162">
        <f t="shared" ref="J56:J70" ca="1" si="16" xml:space="preserve"> I56 * $D$18 * 0.001</f>
        <v>11.536944</v>
      </c>
      <c r="K56" s="149">
        <f t="shared" ca="1" si="7"/>
        <v>38.511675079000007</v>
      </c>
    </row>
    <row r="57" spans="1:11" x14ac:dyDescent="0.25">
      <c r="A57" s="41">
        <v>2029</v>
      </c>
      <c r="B57" s="160">
        <f t="shared" ca="1" si="8"/>
        <v>28.25</v>
      </c>
      <c r="C57" s="148">
        <f t="shared" ca="1" si="11"/>
        <v>6789.9722499999998</v>
      </c>
      <c r="D57" s="159">
        <f t="shared" ca="1" si="12"/>
        <v>33.949861250000005</v>
      </c>
      <c r="E57" s="142">
        <f t="shared" ca="1" si="9"/>
        <v>9.6</v>
      </c>
      <c r="F57" s="143">
        <f t="shared" ca="1" si="13"/>
        <v>948.96716159999994</v>
      </c>
      <c r="G57" s="142">
        <f t="shared" ca="1" si="14"/>
        <v>4.7448358079999995</v>
      </c>
      <c r="H57" s="161">
        <f t="shared" ca="1" si="10"/>
        <v>21.5</v>
      </c>
      <c r="I57" s="144">
        <f t="shared" ca="1" si="15"/>
        <v>5167.5895</v>
      </c>
      <c r="J57" s="162">
        <f t="shared" ca="1" si="16"/>
        <v>25.837947500000002</v>
      </c>
      <c r="K57" s="149">
        <f t="shared" ca="1" si="7"/>
        <v>64.532644558000015</v>
      </c>
    </row>
    <row r="58" spans="1:11" x14ac:dyDescent="0.25">
      <c r="A58" s="41">
        <v>2030</v>
      </c>
      <c r="B58" s="160">
        <f t="shared" ca="1" si="8"/>
        <v>32.5</v>
      </c>
      <c r="C58" s="148">
        <f t="shared" ca="1" si="11"/>
        <v>7811.4724999999999</v>
      </c>
      <c r="D58" s="159">
        <f t="shared" ca="1" si="12"/>
        <v>39.057362500000004</v>
      </c>
      <c r="E58" s="142">
        <f t="shared" ca="1" si="9"/>
        <v>21.5</v>
      </c>
      <c r="F58" s="143">
        <f t="shared" ca="1" si="13"/>
        <v>2125.2910389999997</v>
      </c>
      <c r="G58" s="142">
        <f t="shared" ca="1" si="14"/>
        <v>10.626455194999998</v>
      </c>
      <c r="H58" s="161">
        <f t="shared" ca="1" si="10"/>
        <v>28.25</v>
      </c>
      <c r="I58" s="144">
        <f t="shared" ca="1" si="15"/>
        <v>6789.9722499999998</v>
      </c>
      <c r="J58" s="162">
        <f t="shared" ca="1" si="16"/>
        <v>33.949861250000005</v>
      </c>
      <c r="K58" s="149">
        <f t="shared" ca="1" si="7"/>
        <v>83.633678945000014</v>
      </c>
    </row>
    <row r="59" spans="1:11" x14ac:dyDescent="0.25">
      <c r="A59" s="41">
        <v>2031</v>
      </c>
      <c r="B59" s="160">
        <f t="shared" ca="1" si="8"/>
        <v>38.5</v>
      </c>
      <c r="C59" s="148">
        <f t="shared" ca="1" si="11"/>
        <v>9253.5905000000002</v>
      </c>
      <c r="D59" s="159">
        <f t="shared" ca="1" si="12"/>
        <v>46.2679525</v>
      </c>
      <c r="E59" s="142">
        <f t="shared" ca="1" si="9"/>
        <v>28.25</v>
      </c>
      <c r="F59" s="143">
        <f t="shared" ca="1" si="13"/>
        <v>2792.5335745000002</v>
      </c>
      <c r="G59" s="142">
        <f t="shared" ca="1" si="14"/>
        <v>13.962667872500003</v>
      </c>
      <c r="H59" s="161">
        <f t="shared" ca="1" si="10"/>
        <v>32.5</v>
      </c>
      <c r="I59" s="144">
        <f t="shared" ca="1" si="15"/>
        <v>7811.4724999999999</v>
      </c>
      <c r="J59" s="162">
        <f t="shared" ca="1" si="16"/>
        <v>39.057362500000004</v>
      </c>
      <c r="K59" s="149">
        <f t="shared" ca="1" si="7"/>
        <v>99.28798287250001</v>
      </c>
    </row>
    <row r="60" spans="1:11" x14ac:dyDescent="0.25">
      <c r="A60" s="41">
        <v>2032</v>
      </c>
      <c r="B60" s="160">
        <f t="shared" ca="1" si="8"/>
        <v>41.5</v>
      </c>
      <c r="C60" s="148">
        <f t="shared" ca="1" si="11"/>
        <v>9974.6494999999995</v>
      </c>
      <c r="D60" s="159">
        <f t="shared" ca="1" si="12"/>
        <v>49.873247499999998</v>
      </c>
      <c r="E60" s="142">
        <f t="shared" ca="1" si="9"/>
        <v>32.5</v>
      </c>
      <c r="F60" s="143">
        <f t="shared" ca="1" si="13"/>
        <v>3212.6492450000005</v>
      </c>
      <c r="G60" s="142">
        <f t="shared" ca="1" si="14"/>
        <v>16.063246225000004</v>
      </c>
      <c r="H60" s="161">
        <f t="shared" ca="1" si="10"/>
        <v>38.5</v>
      </c>
      <c r="I60" s="144">
        <f t="shared" ca="1" si="15"/>
        <v>9253.5905000000002</v>
      </c>
      <c r="J60" s="162">
        <f t="shared" ca="1" si="16"/>
        <v>46.2679525</v>
      </c>
      <c r="K60" s="149">
        <f t="shared" ca="1" si="7"/>
        <v>112.204446225</v>
      </c>
    </row>
    <row r="61" spans="1:11" x14ac:dyDescent="0.25">
      <c r="A61" s="41">
        <v>2033</v>
      </c>
      <c r="B61" s="160">
        <f t="shared" ca="1" si="8"/>
        <v>45</v>
      </c>
      <c r="C61" s="148">
        <f t="shared" ca="1" si="11"/>
        <v>10815.885</v>
      </c>
      <c r="D61" s="159">
        <f t="shared" ca="1" si="12"/>
        <v>54.079425000000001</v>
      </c>
      <c r="E61" s="142">
        <f t="shared" ca="1" si="9"/>
        <v>38.5</v>
      </c>
      <c r="F61" s="143">
        <f t="shared" ca="1" si="13"/>
        <v>3805.753721</v>
      </c>
      <c r="G61" s="142">
        <f t="shared" ca="1" si="14"/>
        <v>19.028768605</v>
      </c>
      <c r="H61" s="161">
        <f t="shared" ca="1" si="10"/>
        <v>41.5</v>
      </c>
      <c r="I61" s="144">
        <f t="shared" ca="1" si="15"/>
        <v>9974.6494999999995</v>
      </c>
      <c r="J61" s="162">
        <f t="shared" ca="1" si="16"/>
        <v>49.873247499999998</v>
      </c>
      <c r="K61" s="149">
        <f t="shared" ca="1" si="7"/>
        <v>122.981441105</v>
      </c>
    </row>
    <row r="62" spans="1:11" x14ac:dyDescent="0.25">
      <c r="A62" s="41">
        <v>2034</v>
      </c>
      <c r="B62" s="160">
        <f t="shared" ca="1" si="8"/>
        <v>49</v>
      </c>
      <c r="C62" s="148">
        <f t="shared" ca="1" si="11"/>
        <v>11777.297</v>
      </c>
      <c r="D62" s="159">
        <f t="shared" ca="1" si="12"/>
        <v>58.886485</v>
      </c>
      <c r="E62" s="142">
        <f t="shared" ca="1" si="9"/>
        <v>41.5</v>
      </c>
      <c r="F62" s="143">
        <f t="shared" ca="1" si="13"/>
        <v>4102.3059590000003</v>
      </c>
      <c r="G62" s="142">
        <f t="shared" ca="1" si="14"/>
        <v>20.511529795000001</v>
      </c>
      <c r="H62" s="161">
        <f t="shared" ca="1" si="10"/>
        <v>45</v>
      </c>
      <c r="I62" s="144">
        <f t="shared" ca="1" si="15"/>
        <v>10815.885</v>
      </c>
      <c r="J62" s="162">
        <f t="shared" ca="1" si="16"/>
        <v>54.079425000000001</v>
      </c>
      <c r="K62" s="149">
        <f t="shared" ca="1" si="7"/>
        <v>133.47743979500001</v>
      </c>
    </row>
    <row r="63" spans="1:11" x14ac:dyDescent="0.25">
      <c r="A63" s="41">
        <v>2035</v>
      </c>
      <c r="B63" s="160">
        <f t="shared" ca="1" si="8"/>
        <v>52.5</v>
      </c>
      <c r="C63" s="148">
        <f t="shared" ca="1" si="11"/>
        <v>12618.532500000001</v>
      </c>
      <c r="D63" s="159">
        <f t="shared" ca="1" si="12"/>
        <v>63.09266250000001</v>
      </c>
      <c r="E63" s="142">
        <f t="shared" ca="1" si="9"/>
        <v>45</v>
      </c>
      <c r="F63" s="143">
        <f t="shared" ca="1" si="13"/>
        <v>4448.2835700000005</v>
      </c>
      <c r="G63" s="142">
        <f t="shared" ca="1" si="14"/>
        <v>22.241417850000001</v>
      </c>
      <c r="H63" s="161">
        <f t="shared" ca="1" si="10"/>
        <v>49</v>
      </c>
      <c r="I63" s="144">
        <f t="shared" ca="1" si="15"/>
        <v>11777.297</v>
      </c>
      <c r="J63" s="162">
        <f t="shared" ca="1" si="16"/>
        <v>58.886485</v>
      </c>
      <c r="K63" s="149">
        <f t="shared" ca="1" si="7"/>
        <v>144.22056535000002</v>
      </c>
    </row>
    <row r="64" spans="1:11" x14ac:dyDescent="0.25">
      <c r="A64" s="41">
        <v>2036</v>
      </c>
      <c r="B64" s="160">
        <f t="shared" ca="1" si="8"/>
        <v>56.25</v>
      </c>
      <c r="C64" s="148">
        <f t="shared" ca="1" si="11"/>
        <v>13519.856250000001</v>
      </c>
      <c r="D64" s="159">
        <f t="shared" ca="1" si="12"/>
        <v>67.599281250000004</v>
      </c>
      <c r="E64" s="142">
        <f t="shared" ca="1" si="9"/>
        <v>49</v>
      </c>
      <c r="F64" s="143">
        <f t="shared" ca="1" si="13"/>
        <v>4843.6865539999999</v>
      </c>
      <c r="G64" s="142">
        <f t="shared" ca="1" si="14"/>
        <v>24.21843277</v>
      </c>
      <c r="H64" s="161">
        <f t="shared" ca="1" si="10"/>
        <v>52.5</v>
      </c>
      <c r="I64" s="144">
        <f t="shared" ca="1" si="15"/>
        <v>12618.532500000001</v>
      </c>
      <c r="J64" s="162">
        <f t="shared" ca="1" si="16"/>
        <v>63.09266250000001</v>
      </c>
      <c r="K64" s="149">
        <f t="shared" ca="1" si="7"/>
        <v>154.91037652</v>
      </c>
    </row>
    <row r="65" spans="1:11" x14ac:dyDescent="0.25">
      <c r="A65" s="41">
        <v>2037</v>
      </c>
      <c r="B65" s="160">
        <f t="shared" ca="1" si="8"/>
        <v>59</v>
      </c>
      <c r="C65" s="148">
        <f t="shared" ca="1" si="11"/>
        <v>14180.826999999999</v>
      </c>
      <c r="D65" s="159">
        <f t="shared" ca="1" si="12"/>
        <v>70.904134999999997</v>
      </c>
      <c r="E65" s="142">
        <f t="shared" ca="1" si="9"/>
        <v>52.5</v>
      </c>
      <c r="F65" s="143">
        <f t="shared" ca="1" si="13"/>
        <v>5189.6641650000001</v>
      </c>
      <c r="G65" s="142">
        <f t="shared" ca="1" si="14"/>
        <v>25.948320825000003</v>
      </c>
      <c r="H65" s="161">
        <f t="shared" ca="1" si="10"/>
        <v>56.25</v>
      </c>
      <c r="I65" s="144">
        <f t="shared" ca="1" si="15"/>
        <v>13519.856250000001</v>
      </c>
      <c r="J65" s="162">
        <f t="shared" ca="1" si="16"/>
        <v>67.599281250000004</v>
      </c>
      <c r="K65" s="149">
        <f t="shared" ca="1" si="7"/>
        <v>164.45173707499998</v>
      </c>
    </row>
    <row r="66" spans="1:11" x14ac:dyDescent="0.25">
      <c r="A66" s="41">
        <v>2038</v>
      </c>
      <c r="B66" s="160">
        <f t="shared" ca="1" si="8"/>
        <v>60.75</v>
      </c>
      <c r="C66" s="148">
        <f t="shared" ca="1" si="11"/>
        <v>14601.444749999999</v>
      </c>
      <c r="D66" s="159">
        <f t="shared" ca="1" si="12"/>
        <v>73.007223749999994</v>
      </c>
      <c r="E66" s="142">
        <f t="shared" ca="1" si="9"/>
        <v>56.25</v>
      </c>
      <c r="F66" s="143">
        <f t="shared" ca="1" si="13"/>
        <v>5560.3544625000004</v>
      </c>
      <c r="G66" s="142">
        <f t="shared" ca="1" si="14"/>
        <v>27.801772312500002</v>
      </c>
      <c r="H66" s="161">
        <f t="shared" ca="1" si="10"/>
        <v>59</v>
      </c>
      <c r="I66" s="144">
        <f t="shared" ca="1" si="15"/>
        <v>14180.826999999999</v>
      </c>
      <c r="J66" s="162">
        <f t="shared" ca="1" si="16"/>
        <v>70.904134999999997</v>
      </c>
      <c r="K66" s="149">
        <f t="shared" ca="1" si="7"/>
        <v>171.71313106249997</v>
      </c>
    </row>
    <row r="67" spans="1:11" x14ac:dyDescent="0.25">
      <c r="A67" s="41">
        <v>2039</v>
      </c>
      <c r="B67" s="160">
        <f t="shared" ca="1" si="8"/>
        <v>61.8</v>
      </c>
      <c r="C67" s="148">
        <f t="shared" ca="1" si="11"/>
        <v>14853.815399999998</v>
      </c>
      <c r="D67" s="159">
        <f t="shared" ca="1" si="12"/>
        <v>74.269076999999996</v>
      </c>
      <c r="E67" s="142">
        <f t="shared" ca="1" si="9"/>
        <v>59</v>
      </c>
      <c r="F67" s="143">
        <f t="shared" ca="1" si="13"/>
        <v>5832.1940139999997</v>
      </c>
      <c r="G67" s="142">
        <f t="shared" ca="1" si="14"/>
        <v>29.160970070000001</v>
      </c>
      <c r="H67" s="161">
        <f t="shared" ca="1" si="10"/>
        <v>60.75</v>
      </c>
      <c r="I67" s="144">
        <f t="shared" ca="1" si="15"/>
        <v>14601.444749999999</v>
      </c>
      <c r="J67" s="162">
        <f t="shared" ca="1" si="16"/>
        <v>73.007223749999994</v>
      </c>
      <c r="K67" s="149">
        <f t="shared" ca="1" si="7"/>
        <v>176.43727081999998</v>
      </c>
    </row>
    <row r="68" spans="1:11" x14ac:dyDescent="0.25">
      <c r="A68" s="41">
        <v>2040</v>
      </c>
      <c r="B68" s="160">
        <f t="shared" ca="1" si="8"/>
        <v>62.35</v>
      </c>
      <c r="C68" s="148">
        <f t="shared" ca="1" si="11"/>
        <v>14986.009550000001</v>
      </c>
      <c r="D68" s="159">
        <f t="shared" ca="1" si="12"/>
        <v>74.93004775</v>
      </c>
      <c r="E68" s="142">
        <f t="shared" ca="1" si="9"/>
        <v>60.75</v>
      </c>
      <c r="F68" s="143">
        <f t="shared" ca="1" si="13"/>
        <v>6005.1828194999998</v>
      </c>
      <c r="G68" s="142">
        <f t="shared" ca="1" si="14"/>
        <v>30.025914097499999</v>
      </c>
      <c r="H68" s="161">
        <f t="shared" ca="1" si="10"/>
        <v>61.8</v>
      </c>
      <c r="I68" s="144">
        <f t="shared" ca="1" si="15"/>
        <v>14853.815399999998</v>
      </c>
      <c r="J68" s="162">
        <f t="shared" ca="1" si="16"/>
        <v>74.269076999999996</v>
      </c>
      <c r="K68" s="149">
        <f t="shared" ca="1" si="7"/>
        <v>179.2250388475</v>
      </c>
    </row>
    <row r="69" spans="1:11" x14ac:dyDescent="0.25">
      <c r="A69" s="41">
        <v>2041</v>
      </c>
      <c r="B69" s="160">
        <f t="shared" ca="1" si="8"/>
        <v>62.65</v>
      </c>
      <c r="C69" s="148">
        <f t="shared" ca="1" si="11"/>
        <v>15058.115449999999</v>
      </c>
      <c r="D69" s="159">
        <f t="shared" ca="1" si="12"/>
        <v>75.290577249999998</v>
      </c>
      <c r="E69" s="142">
        <f t="shared" ca="1" si="9"/>
        <v>61.8</v>
      </c>
      <c r="F69" s="143">
        <f t="shared" ca="1" si="13"/>
        <v>6108.9761028000003</v>
      </c>
      <c r="G69" s="142">
        <f t="shared" ca="1" si="14"/>
        <v>30.544880514000003</v>
      </c>
      <c r="H69" s="161">
        <f t="shared" ca="1" si="10"/>
        <v>62.35</v>
      </c>
      <c r="I69" s="144">
        <f t="shared" ca="1" si="15"/>
        <v>14986.009550000001</v>
      </c>
      <c r="J69" s="162">
        <f t="shared" ca="1" si="16"/>
        <v>74.93004775</v>
      </c>
      <c r="K69" s="149">
        <f t="shared" ca="1" si="7"/>
        <v>180.76550551399998</v>
      </c>
    </row>
    <row r="70" spans="1:11" x14ac:dyDescent="0.25">
      <c r="A70" s="41">
        <v>2042</v>
      </c>
      <c r="B70" s="160">
        <f t="shared" ca="1" si="8"/>
        <v>62.95</v>
      </c>
      <c r="C70" s="148">
        <f t="shared" ca="1" si="11"/>
        <v>15130.22135</v>
      </c>
      <c r="D70" s="159">
        <f t="shared" ca="1" si="12"/>
        <v>75.651106750000011</v>
      </c>
      <c r="E70" s="142">
        <f t="shared" ca="1" si="9"/>
        <v>62.35</v>
      </c>
      <c r="F70" s="143">
        <f t="shared" ca="1" si="13"/>
        <v>6163.3440130999998</v>
      </c>
      <c r="G70" s="142">
        <f t="shared" ca="1" si="14"/>
        <v>30.8167200655</v>
      </c>
      <c r="H70" s="161">
        <f t="shared" ca="1" si="10"/>
        <v>62.65</v>
      </c>
      <c r="I70" s="144">
        <f t="shared" ca="1" si="15"/>
        <v>15058.115449999999</v>
      </c>
      <c r="J70" s="162">
        <f t="shared" ca="1" si="16"/>
        <v>75.290577249999998</v>
      </c>
      <c r="K70" s="149">
        <f t="shared" ca="1" si="7"/>
        <v>181.7584040655</v>
      </c>
    </row>
  </sheetData>
  <dataValidations count="1">
    <dataValidation type="list" allowBlank="1" showInputMessage="1" showErrorMessage="1" sqref="G21:I21" xr:uid="{A9D9780E-3B38-4054-AEF8-13F811E52097}">
      <formula1>"1,2,3,4"</formula1>
    </dataValidation>
  </dataValidations>
  <pageMargins left="0.7" right="0.7" top="0.75" bottom="0.75" header="0.3" footer="0.3"/>
  <drawing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959FC6-BF36-45EA-82E4-334DA3238FEF}">
  <sheetPr codeName="Sheet5">
    <tabColor theme="5" tint="-0.249977111117893"/>
  </sheetPr>
  <dimension ref="A1:G42"/>
  <sheetViews>
    <sheetView workbookViewId="0">
      <selection activeCell="K22" sqref="K22"/>
    </sheetView>
  </sheetViews>
  <sheetFormatPr defaultRowHeight="15" x14ac:dyDescent="0.25"/>
  <cols>
    <col min="1" max="1" width="9.5703125" style="4" customWidth="1"/>
    <col min="2" max="3" width="9.140625" style="4"/>
    <col min="4" max="4" width="14.5703125" style="4" customWidth="1"/>
    <col min="5" max="5" width="11.28515625" style="4" customWidth="1"/>
    <col min="6" max="6" width="9.140625" style="4"/>
    <col min="7" max="7" width="9.7109375" style="4" customWidth="1"/>
    <col min="8" max="8" width="10.5703125" style="4" customWidth="1"/>
    <col min="9" max="9" width="10.28515625" style="4" customWidth="1"/>
    <col min="10" max="10" width="5.140625" style="4" customWidth="1"/>
    <col min="11" max="11" width="12.28515625" style="4" customWidth="1"/>
    <col min="12" max="12" width="10.7109375" style="4" customWidth="1"/>
    <col min="13" max="13" width="9.140625" style="4" customWidth="1"/>
    <col min="14" max="16384" width="9.140625" style="4"/>
  </cols>
  <sheetData>
    <row r="1" spans="1:7" s="97" customFormat="1" ht="26.25" x14ac:dyDescent="0.2">
      <c r="A1" s="96" t="s">
        <v>100</v>
      </c>
    </row>
    <row r="2" spans="1:7" ht="9" customHeight="1" x14ac:dyDescent="0.25"/>
    <row r="3" spans="1:7" ht="15.75" x14ac:dyDescent="0.25">
      <c r="A3" s="6" t="s">
        <v>153</v>
      </c>
    </row>
    <row r="4" spans="1:7" x14ac:dyDescent="0.25">
      <c r="A4" s="102" t="s">
        <v>70</v>
      </c>
      <c r="B4" s="33"/>
      <c r="C4" s="33"/>
      <c r="D4" s="33"/>
      <c r="E4" s="101" t="s">
        <v>76</v>
      </c>
      <c r="F4" s="101" t="s">
        <v>75</v>
      </c>
      <c r="G4" s="101" t="s">
        <v>71</v>
      </c>
    </row>
    <row r="5" spans="1:7" ht="27" customHeight="1" x14ac:dyDescent="0.25">
      <c r="A5" s="33"/>
      <c r="B5" s="33"/>
      <c r="C5" s="33"/>
      <c r="D5" s="33"/>
      <c r="E5" s="100" t="s">
        <v>87</v>
      </c>
      <c r="F5" s="33"/>
      <c r="G5" s="100" t="s">
        <v>72</v>
      </c>
    </row>
    <row r="6" spans="1:7" x14ac:dyDescent="0.25">
      <c r="A6" s="136" t="s">
        <v>74</v>
      </c>
      <c r="B6" s="137"/>
      <c r="C6" s="137"/>
      <c r="D6" s="137"/>
      <c r="E6" s="138"/>
      <c r="F6" s="139"/>
      <c r="G6" s="138"/>
    </row>
    <row r="7" spans="1:7" x14ac:dyDescent="0.25">
      <c r="A7" s="133" t="s">
        <v>73</v>
      </c>
      <c r="B7" s="133"/>
      <c r="C7" s="133"/>
      <c r="D7" s="133"/>
      <c r="E7" s="9">
        <v>120000</v>
      </c>
      <c r="F7" s="103">
        <v>0.8</v>
      </c>
      <c r="G7" s="15">
        <f t="shared" ref="G7:G13" si="0" xml:space="preserve"> E7 * F7</f>
        <v>96000</v>
      </c>
    </row>
    <row r="8" spans="1:7" x14ac:dyDescent="0.25">
      <c r="A8" s="133" t="s">
        <v>92</v>
      </c>
      <c r="B8" s="133"/>
      <c r="C8" s="133"/>
      <c r="D8" s="133"/>
      <c r="E8" s="9">
        <v>100000</v>
      </c>
      <c r="F8" s="103">
        <v>0.8</v>
      </c>
      <c r="G8" s="15">
        <f t="shared" si="0"/>
        <v>80000</v>
      </c>
    </row>
    <row r="9" spans="1:7" x14ac:dyDescent="0.25">
      <c r="A9" s="133" t="s">
        <v>77</v>
      </c>
      <c r="B9" s="133"/>
      <c r="C9" s="133"/>
      <c r="D9" s="133"/>
      <c r="E9" s="9">
        <v>80000</v>
      </c>
      <c r="F9" s="103">
        <v>4</v>
      </c>
      <c r="G9" s="15">
        <f t="shared" si="0"/>
        <v>320000</v>
      </c>
    </row>
    <row r="10" spans="1:7" x14ac:dyDescent="0.25">
      <c r="A10" s="133" t="s">
        <v>78</v>
      </c>
      <c r="B10" s="133"/>
      <c r="C10" s="133"/>
      <c r="D10" s="133"/>
      <c r="E10" s="9">
        <v>150000</v>
      </c>
      <c r="F10" s="103">
        <v>1</v>
      </c>
      <c r="G10" s="15">
        <f t="shared" si="0"/>
        <v>150000</v>
      </c>
    </row>
    <row r="11" spans="1:7" x14ac:dyDescent="0.25">
      <c r="A11" s="133" t="s">
        <v>134</v>
      </c>
      <c r="B11" s="133"/>
      <c r="C11" s="133"/>
      <c r="D11" s="133"/>
      <c r="E11" s="9">
        <v>30000</v>
      </c>
      <c r="F11" s="103">
        <v>1</v>
      </c>
      <c r="G11" s="15">
        <f t="shared" si="0"/>
        <v>30000</v>
      </c>
    </row>
    <row r="12" spans="1:7" x14ac:dyDescent="0.25">
      <c r="A12" s="133" t="s">
        <v>79</v>
      </c>
      <c r="B12" s="133"/>
      <c r="C12" s="133"/>
      <c r="D12" s="133"/>
      <c r="E12" s="9">
        <f xml:space="preserve"> SUM(G7:G11)</f>
        <v>676000</v>
      </c>
      <c r="F12" s="103">
        <v>0.1</v>
      </c>
      <c r="G12" s="15">
        <f t="shared" si="0"/>
        <v>67600</v>
      </c>
    </row>
    <row r="13" spans="1:7" x14ac:dyDescent="0.25">
      <c r="A13" s="133" t="s">
        <v>93</v>
      </c>
      <c r="B13" s="133"/>
      <c r="C13" s="133"/>
      <c r="D13" s="133"/>
      <c r="E13" s="9">
        <v>120000</v>
      </c>
      <c r="F13" s="103">
        <v>0.5</v>
      </c>
      <c r="G13" s="15">
        <f t="shared" si="0"/>
        <v>60000</v>
      </c>
    </row>
    <row r="14" spans="1:7" x14ac:dyDescent="0.25">
      <c r="A14" s="133"/>
      <c r="B14" s="133"/>
      <c r="C14" s="133"/>
      <c r="D14" s="133"/>
      <c r="E14" s="134"/>
      <c r="F14" s="135"/>
      <c r="G14" s="38">
        <f xml:space="preserve"> SUM(G7:G12)</f>
        <v>743600</v>
      </c>
    </row>
    <row r="15" spans="1:7" x14ac:dyDescent="0.25">
      <c r="A15" s="133"/>
      <c r="B15" s="133"/>
      <c r="C15" s="133"/>
      <c r="D15" s="133"/>
      <c r="E15" s="134"/>
      <c r="F15" s="135"/>
      <c r="G15" s="134"/>
    </row>
    <row r="16" spans="1:7" x14ac:dyDescent="0.25">
      <c r="A16" s="136" t="s">
        <v>129</v>
      </c>
      <c r="B16" s="137"/>
      <c r="C16" s="137"/>
      <c r="D16" s="137"/>
      <c r="E16" s="138"/>
      <c r="F16" s="139"/>
      <c r="G16" s="138"/>
    </row>
    <row r="17" spans="1:7" x14ac:dyDescent="0.25">
      <c r="A17" s="133" t="s">
        <v>130</v>
      </c>
      <c r="B17" s="133"/>
      <c r="C17" s="133"/>
      <c r="D17" s="133"/>
      <c r="E17" s="134"/>
      <c r="F17" s="135"/>
      <c r="G17" s="9">
        <v>500000</v>
      </c>
    </row>
    <row r="18" spans="1:7" x14ac:dyDescent="0.25">
      <c r="A18" s="133"/>
      <c r="B18" s="133"/>
      <c r="C18" s="133"/>
      <c r="D18" s="133"/>
      <c r="E18" s="134"/>
      <c r="F18" s="135"/>
      <c r="G18" s="38">
        <f xml:space="preserve"> SUM(G17:G17)</f>
        <v>500000</v>
      </c>
    </row>
    <row r="19" spans="1:7" x14ac:dyDescent="0.25">
      <c r="A19" s="133"/>
      <c r="B19" s="133"/>
      <c r="C19" s="133"/>
      <c r="D19" s="133"/>
      <c r="E19" s="134"/>
      <c r="F19" s="135"/>
      <c r="G19" s="134"/>
    </row>
    <row r="20" spans="1:7" x14ac:dyDescent="0.25">
      <c r="A20" s="136" t="s">
        <v>80</v>
      </c>
      <c r="B20" s="137"/>
      <c r="C20" s="137"/>
      <c r="D20" s="137"/>
      <c r="E20" s="138"/>
      <c r="F20" s="139"/>
      <c r="G20" s="138"/>
    </row>
    <row r="21" spans="1:7" x14ac:dyDescent="0.25">
      <c r="A21" s="133" t="s">
        <v>81</v>
      </c>
      <c r="B21" s="133"/>
      <c r="C21" s="133"/>
      <c r="D21" s="133"/>
      <c r="E21" s="134"/>
      <c r="F21" s="135"/>
      <c r="G21" s="9">
        <v>5000</v>
      </c>
    </row>
    <row r="22" spans="1:7" x14ac:dyDescent="0.25">
      <c r="A22" s="133" t="s">
        <v>82</v>
      </c>
      <c r="B22" s="133"/>
      <c r="C22" s="133"/>
      <c r="D22" s="133"/>
      <c r="E22" s="134"/>
      <c r="F22" s="135"/>
      <c r="G22" s="9">
        <v>250000</v>
      </c>
    </row>
    <row r="23" spans="1:7" x14ac:dyDescent="0.25">
      <c r="A23" s="133"/>
      <c r="B23" s="133"/>
      <c r="C23" s="133"/>
      <c r="D23" s="133"/>
      <c r="E23" s="134"/>
      <c r="F23" s="135"/>
      <c r="G23" s="38">
        <f xml:space="preserve"> SUM(G21:G22)</f>
        <v>255000</v>
      </c>
    </row>
    <row r="24" spans="1:7" x14ac:dyDescent="0.25">
      <c r="A24" s="133"/>
      <c r="B24" s="133"/>
      <c r="C24" s="133"/>
      <c r="D24" s="133"/>
      <c r="E24" s="134"/>
      <c r="F24" s="135"/>
      <c r="G24" s="134"/>
    </row>
    <row r="25" spans="1:7" x14ac:dyDescent="0.25">
      <c r="A25" s="136" t="s">
        <v>135</v>
      </c>
      <c r="B25" s="137"/>
      <c r="C25" s="137"/>
      <c r="D25" s="137"/>
      <c r="E25" s="138"/>
      <c r="F25" s="139"/>
      <c r="G25" s="138"/>
    </row>
    <row r="26" spans="1:7" x14ac:dyDescent="0.25">
      <c r="A26" s="133" t="s">
        <v>88</v>
      </c>
      <c r="B26" s="133"/>
      <c r="C26" s="133"/>
      <c r="D26" s="133"/>
      <c r="E26" s="9">
        <v>120000</v>
      </c>
      <c r="F26" s="103">
        <v>0.2</v>
      </c>
      <c r="G26" s="15">
        <f xml:space="preserve"> E26 * F26</f>
        <v>24000</v>
      </c>
    </row>
    <row r="27" spans="1:7" x14ac:dyDescent="0.25">
      <c r="A27" s="133" t="s">
        <v>136</v>
      </c>
      <c r="B27" s="133"/>
      <c r="C27" s="133"/>
      <c r="D27" s="133"/>
      <c r="E27" s="9">
        <v>30000</v>
      </c>
      <c r="F27" s="103">
        <v>1</v>
      </c>
      <c r="G27" s="15">
        <f xml:space="preserve"> E27 * F27</f>
        <v>30000</v>
      </c>
    </row>
    <row r="28" spans="1:7" x14ac:dyDescent="0.25">
      <c r="A28" s="133" t="s">
        <v>90</v>
      </c>
      <c r="B28" s="133"/>
      <c r="C28" s="133"/>
      <c r="D28" s="133"/>
      <c r="E28" s="134"/>
      <c r="F28" s="135"/>
      <c r="G28" s="9">
        <v>20000</v>
      </c>
    </row>
    <row r="29" spans="1:7" x14ac:dyDescent="0.25">
      <c r="A29" s="133"/>
      <c r="B29" s="133"/>
      <c r="C29" s="133"/>
      <c r="D29" s="133"/>
      <c r="E29" s="134"/>
      <c r="F29" s="135"/>
      <c r="G29" s="38">
        <f xml:space="preserve"> SUM(G26:G28)</f>
        <v>74000</v>
      </c>
    </row>
    <row r="30" spans="1:7" x14ac:dyDescent="0.25">
      <c r="A30" s="133"/>
      <c r="B30" s="133"/>
      <c r="C30" s="133"/>
      <c r="D30" s="133"/>
      <c r="E30" s="134"/>
      <c r="F30" s="135"/>
      <c r="G30" s="134"/>
    </row>
    <row r="31" spans="1:7" x14ac:dyDescent="0.25">
      <c r="A31" s="136" t="s">
        <v>83</v>
      </c>
      <c r="B31" s="137"/>
      <c r="C31" s="137"/>
      <c r="D31" s="137"/>
      <c r="E31" s="138"/>
      <c r="F31" s="139"/>
      <c r="G31" s="138"/>
    </row>
    <row r="32" spans="1:7" x14ac:dyDescent="0.25">
      <c r="A32" s="133" t="s">
        <v>84</v>
      </c>
      <c r="B32" s="133"/>
      <c r="C32" s="133"/>
      <c r="D32" s="133"/>
      <c r="E32" s="9">
        <v>15000</v>
      </c>
      <c r="F32" s="103">
        <v>4</v>
      </c>
      <c r="G32" s="15">
        <f xml:space="preserve"> E32 * F32</f>
        <v>60000</v>
      </c>
    </row>
    <row r="33" spans="1:7" x14ac:dyDescent="0.25">
      <c r="A33" s="133" t="s">
        <v>89</v>
      </c>
      <c r="B33" s="133"/>
      <c r="C33" s="133"/>
      <c r="D33" s="133"/>
      <c r="E33" s="9">
        <v>100</v>
      </c>
      <c r="F33" s="103">
        <f xml:space="preserve"> 50 * 4</f>
        <v>200</v>
      </c>
      <c r="G33" s="15">
        <f xml:space="preserve"> E33 * F33</f>
        <v>20000</v>
      </c>
    </row>
    <row r="34" spans="1:7" x14ac:dyDescent="0.25">
      <c r="A34" s="133" t="s">
        <v>85</v>
      </c>
      <c r="B34" s="133"/>
      <c r="C34" s="133"/>
      <c r="D34" s="133"/>
      <c r="E34" s="134"/>
      <c r="F34" s="135"/>
      <c r="G34" s="9">
        <v>15000</v>
      </c>
    </row>
    <row r="35" spans="1:7" x14ac:dyDescent="0.25">
      <c r="A35" s="133" t="s">
        <v>86</v>
      </c>
      <c r="B35" s="133"/>
      <c r="C35" s="133"/>
      <c r="D35" s="133"/>
      <c r="E35" s="9">
        <v>30</v>
      </c>
      <c r="F35" s="103">
        <f xml:space="preserve"> 50 * 4</f>
        <v>200</v>
      </c>
      <c r="G35" s="15">
        <f xml:space="preserve"> E35 * F35</f>
        <v>6000</v>
      </c>
    </row>
    <row r="36" spans="1:7" x14ac:dyDescent="0.25">
      <c r="A36" s="133"/>
      <c r="B36" s="133"/>
      <c r="C36" s="133"/>
      <c r="D36" s="133"/>
      <c r="E36" s="134"/>
      <c r="F36" s="135"/>
      <c r="G36" s="38">
        <f xml:space="preserve"> SUM(G32:G35)</f>
        <v>101000</v>
      </c>
    </row>
    <row r="37" spans="1:7" ht="15.75" thickBot="1" x14ac:dyDescent="0.3">
      <c r="A37" s="133"/>
      <c r="B37" s="133"/>
      <c r="C37" s="133"/>
      <c r="D37" s="133"/>
      <c r="E37" s="134"/>
      <c r="F37" s="135"/>
      <c r="G37" s="134"/>
    </row>
    <row r="38" spans="1:7" ht="15.75" thickTop="1" x14ac:dyDescent="0.25">
      <c r="A38" s="136" t="s">
        <v>11</v>
      </c>
      <c r="B38" s="137"/>
      <c r="C38" s="137"/>
      <c r="D38" s="137"/>
      <c r="E38" s="138"/>
      <c r="F38" s="139"/>
      <c r="G38" s="104">
        <f xml:space="preserve"> G14 + G18 + G23 + G29 + G36</f>
        <v>1673600</v>
      </c>
    </row>
    <row r="42" spans="1:7" ht="15.75" x14ac:dyDescent="0.25">
      <c r="A42" s="6"/>
    </row>
  </sheetData>
  <pageMargins left="0.7" right="0.7" top="0.75" bottom="0.75" header="0.3" footer="0.3"/>
  <drawing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5ED15-E692-4F6F-934F-927A6B167F28}">
  <sheetPr codeName="Sheet6">
    <tabColor theme="3" tint="-0.499984740745262"/>
  </sheetPr>
  <dimension ref="A1:G59"/>
  <sheetViews>
    <sheetView workbookViewId="0">
      <selection activeCell="T49" sqref="T49"/>
    </sheetView>
  </sheetViews>
  <sheetFormatPr defaultRowHeight="15" x14ac:dyDescent="0.25"/>
  <cols>
    <col min="1" max="1" width="9.5703125" style="4" customWidth="1"/>
    <col min="2" max="3" width="9.140625" style="4"/>
    <col min="4" max="4" width="10.42578125" style="4" customWidth="1"/>
    <col min="5" max="5" width="11.28515625" style="4" customWidth="1"/>
    <col min="6" max="6" width="9.5703125" style="4" bestFit="1" customWidth="1"/>
    <col min="7" max="7" width="9.5703125" style="4" customWidth="1"/>
    <col min="8" max="8" width="9.7109375" style="4" customWidth="1"/>
    <col min="9" max="9" width="10.5703125" style="4" customWidth="1"/>
    <col min="10" max="10" width="10.28515625" style="4" customWidth="1"/>
    <col min="11" max="11" width="5.140625" style="4" customWidth="1"/>
    <col min="12" max="12" width="12.28515625" style="4" customWidth="1"/>
    <col min="13" max="13" width="10.7109375" style="4" customWidth="1"/>
    <col min="14" max="14" width="9.140625" style="4" customWidth="1"/>
    <col min="15" max="16384" width="9.140625" style="4"/>
  </cols>
  <sheetData>
    <row r="1" spans="1:7" s="109" customFormat="1" ht="26.25" x14ac:dyDescent="0.2">
      <c r="A1" s="108" t="s">
        <v>99</v>
      </c>
    </row>
    <row r="3" spans="1:7" ht="15.75" x14ac:dyDescent="0.25">
      <c r="A3" s="6" t="s">
        <v>37</v>
      </c>
    </row>
    <row r="4" spans="1:7" x14ac:dyDescent="0.25">
      <c r="C4" s="107" t="s">
        <v>96</v>
      </c>
      <c r="D4" s="9">
        <v>25</v>
      </c>
      <c r="E4" s="4" t="s">
        <v>41</v>
      </c>
    </row>
    <row r="5" spans="1:7" x14ac:dyDescent="0.25">
      <c r="C5" s="107" t="s">
        <v>139</v>
      </c>
      <c r="D5" s="106">
        <v>3.5</v>
      </c>
      <c r="E5" s="4" t="s">
        <v>98</v>
      </c>
    </row>
    <row r="6" spans="1:7" x14ac:dyDescent="0.25">
      <c r="C6" s="107" t="s">
        <v>125</v>
      </c>
      <c r="D6" s="9">
        <v>25</v>
      </c>
      <c r="E6" s="4" t="s">
        <v>41</v>
      </c>
    </row>
    <row r="7" spans="1:7" x14ac:dyDescent="0.25">
      <c r="C7" s="107" t="s">
        <v>110</v>
      </c>
      <c r="D7" s="9">
        <v>8</v>
      </c>
      <c r="E7" s="4" t="s">
        <v>41</v>
      </c>
    </row>
    <row r="9" spans="1:7" ht="15.75" x14ac:dyDescent="0.25">
      <c r="A9" s="6" t="s">
        <v>94</v>
      </c>
    </row>
    <row r="10" spans="1:7" ht="30" x14ac:dyDescent="0.25">
      <c r="A10" s="110" t="s">
        <v>1</v>
      </c>
      <c r="B10" s="110" t="s">
        <v>95</v>
      </c>
      <c r="C10" s="110" t="s">
        <v>91</v>
      </c>
      <c r="D10" s="110" t="s">
        <v>126</v>
      </c>
      <c r="E10" s="110" t="s">
        <v>131</v>
      </c>
      <c r="F10" s="110" t="s">
        <v>97</v>
      </c>
      <c r="G10" s="110" t="s">
        <v>122</v>
      </c>
    </row>
    <row r="11" spans="1:7" x14ac:dyDescent="0.25">
      <c r="A11" s="110"/>
      <c r="B11" s="111" t="s">
        <v>46</v>
      </c>
      <c r="C11" s="111" t="s">
        <v>46</v>
      </c>
      <c r="D11" s="111" t="s">
        <v>46</v>
      </c>
      <c r="E11" s="111" t="s">
        <v>46</v>
      </c>
      <c r="F11" s="111" t="s">
        <v>38</v>
      </c>
      <c r="G11" s="111" t="s">
        <v>38</v>
      </c>
    </row>
    <row r="12" spans="1:7" x14ac:dyDescent="0.25">
      <c r="A12" s="112">
        <v>2023</v>
      </c>
      <c r="B12" s="129">
        <f ca="1" xml:space="preserve"> Revenue!K51</f>
        <v>0</v>
      </c>
      <c r="C12" s="129">
        <f xml:space="preserve"> Costs!$G$38 * 0.000001</f>
        <v>1.6736</v>
      </c>
      <c r="D12" s="130">
        <f t="shared" ref="D12:D25" ca="1" si="0" xml:space="preserve"> B12 - C12</f>
        <v>-1.6736</v>
      </c>
      <c r="E12" s="130">
        <f ca="1" xml:space="preserve"> D12 *  IF(D12 &lt;= 0, 1, (1 - $D$6 * 0.01))</f>
        <v>-1.6736</v>
      </c>
      <c r="F12" s="131">
        <f ca="1" xml:space="preserve"> E12 / $D$5</f>
        <v>-0.47817142857142858</v>
      </c>
      <c r="G12" s="131">
        <f t="shared" ref="G12:G31" ca="1" si="1" xml:space="preserve"> (1 - $D$7 * 0.01)^(A12 - 2023) * F12</f>
        <v>-0.47817142857142858</v>
      </c>
    </row>
    <row r="13" spans="1:7" x14ac:dyDescent="0.25">
      <c r="A13" s="112">
        <v>2024</v>
      </c>
      <c r="B13" s="129">
        <f ca="1" xml:space="preserve"> Revenue!K52</f>
        <v>0</v>
      </c>
      <c r="C13" s="129">
        <f xml:space="preserve"> C12 * (1 + $D$4 * 0.01)</f>
        <v>2.0920000000000001</v>
      </c>
      <c r="D13" s="130">
        <f t="shared" ca="1" si="0"/>
        <v>-2.0920000000000001</v>
      </c>
      <c r="E13" s="130">
        <f t="shared" ref="E13:E31" ca="1" si="2" xml:space="preserve"> D13 *  IF(D13 &lt;= 0, 1, (1 - $D$6 * 0.01))</f>
        <v>-2.0920000000000001</v>
      </c>
      <c r="F13" s="131">
        <f t="shared" ref="F13:F31" ca="1" si="3" xml:space="preserve"> E13 / $D$5</f>
        <v>-0.59771428571428575</v>
      </c>
      <c r="G13" s="131">
        <f t="shared" ca="1" si="1"/>
        <v>-0.54989714285714286</v>
      </c>
    </row>
    <row r="14" spans="1:7" x14ac:dyDescent="0.25">
      <c r="A14" s="112">
        <v>2025</v>
      </c>
      <c r="B14" s="129">
        <f ca="1" xml:space="preserve"> Revenue!K53</f>
        <v>0</v>
      </c>
      <c r="C14" s="129">
        <f t="shared" ref="C14:C31" si="4" xml:space="preserve"> C13 * (1 + $D$4 * 0.01)</f>
        <v>2.6150000000000002</v>
      </c>
      <c r="D14" s="130">
        <f t="shared" ca="1" si="0"/>
        <v>-2.6150000000000002</v>
      </c>
      <c r="E14" s="130">
        <f t="shared" ca="1" si="2"/>
        <v>-2.6150000000000002</v>
      </c>
      <c r="F14" s="131">
        <f t="shared" ca="1" si="3"/>
        <v>-0.74714285714285722</v>
      </c>
      <c r="G14" s="131">
        <f t="shared" ca="1" si="1"/>
        <v>-0.63238171428571444</v>
      </c>
    </row>
    <row r="15" spans="1:7" x14ac:dyDescent="0.25">
      <c r="A15" s="112">
        <v>2026</v>
      </c>
      <c r="B15" s="129">
        <f ca="1" xml:space="preserve"> Revenue!K54</f>
        <v>2.7640594999999992</v>
      </c>
      <c r="C15" s="129">
        <f t="shared" si="4"/>
        <v>3.2687500000000003</v>
      </c>
      <c r="D15" s="130">
        <f t="shared" ca="1" si="0"/>
        <v>-0.50469050000000104</v>
      </c>
      <c r="E15" s="130">
        <f t="shared" ca="1" si="2"/>
        <v>-0.50469050000000104</v>
      </c>
      <c r="F15" s="131">
        <f t="shared" ca="1" si="3"/>
        <v>-0.144197285714286</v>
      </c>
      <c r="G15" s="131">
        <f t="shared" ca="1" si="1"/>
        <v>-0.11228469601828595</v>
      </c>
    </row>
    <row r="16" spans="1:7" x14ac:dyDescent="0.25">
      <c r="A16" s="112">
        <v>2027</v>
      </c>
      <c r="B16" s="129">
        <f ca="1" xml:space="preserve"> Revenue!K55</f>
        <v>14.3010035</v>
      </c>
      <c r="C16" s="129">
        <f t="shared" si="4"/>
        <v>4.0859375</v>
      </c>
      <c r="D16" s="130">
        <f t="shared" ca="1" si="0"/>
        <v>10.215066</v>
      </c>
      <c r="E16" s="130">
        <f t="shared" ca="1" si="2"/>
        <v>7.6612995000000002</v>
      </c>
      <c r="F16" s="131">
        <f t="shared" ca="1" si="3"/>
        <v>2.1889427142857145</v>
      </c>
      <c r="G16" s="131">
        <f t="shared" ca="1" si="1"/>
        <v>1.5681431503575776</v>
      </c>
    </row>
    <row r="17" spans="1:7" x14ac:dyDescent="0.25">
      <c r="A17" s="112">
        <v>2028</v>
      </c>
      <c r="B17" s="129">
        <f ca="1" xml:space="preserve"> Revenue!K56</f>
        <v>38.511675079000007</v>
      </c>
      <c r="C17" s="129">
        <f t="shared" si="4"/>
        <v>5.107421875</v>
      </c>
      <c r="D17" s="130">
        <f t="shared" ca="1" si="0"/>
        <v>33.404253204000007</v>
      </c>
      <c r="E17" s="130">
        <f t="shared" ca="1" si="2"/>
        <v>25.053189903000003</v>
      </c>
      <c r="F17" s="131">
        <f t="shared" ca="1" si="3"/>
        <v>7.1580542580000008</v>
      </c>
      <c r="G17" s="131">
        <f t="shared" ca="1" si="1"/>
        <v>4.7177413035108868</v>
      </c>
    </row>
    <row r="18" spans="1:7" x14ac:dyDescent="0.25">
      <c r="A18" s="112">
        <v>2029</v>
      </c>
      <c r="B18" s="129">
        <f ca="1" xml:space="preserve"> Revenue!K57</f>
        <v>64.532644558000015</v>
      </c>
      <c r="C18" s="129">
        <f t="shared" si="4"/>
        <v>6.38427734375</v>
      </c>
      <c r="D18" s="130">
        <f t="shared" ca="1" si="0"/>
        <v>58.148367214250015</v>
      </c>
      <c r="E18" s="130">
        <f t="shared" ca="1" si="2"/>
        <v>43.611275410687512</v>
      </c>
      <c r="F18" s="131">
        <f t="shared" ca="1" si="3"/>
        <v>12.460364403053575</v>
      </c>
      <c r="G18" s="131">
        <f t="shared" ca="1" si="1"/>
        <v>7.5554042743602814</v>
      </c>
    </row>
    <row r="19" spans="1:7" x14ac:dyDescent="0.25">
      <c r="A19" s="112">
        <v>2030</v>
      </c>
      <c r="B19" s="129">
        <f ca="1" xml:space="preserve"> Revenue!K58</f>
        <v>83.633678945000014</v>
      </c>
      <c r="C19" s="129">
        <f t="shared" si="4"/>
        <v>7.9803466796875</v>
      </c>
      <c r="D19" s="130">
        <f t="shared" ca="1" si="0"/>
        <v>75.653332265312514</v>
      </c>
      <c r="E19" s="130">
        <f t="shared" ca="1" si="2"/>
        <v>56.739999198984385</v>
      </c>
      <c r="F19" s="131">
        <f t="shared" ca="1" si="3"/>
        <v>16.211428342566968</v>
      </c>
      <c r="G19" s="131">
        <f t="shared" ca="1" si="1"/>
        <v>9.0434902020897265</v>
      </c>
    </row>
    <row r="20" spans="1:7" x14ac:dyDescent="0.25">
      <c r="A20" s="112">
        <v>2031</v>
      </c>
      <c r="B20" s="129">
        <f ca="1" xml:space="preserve"> Revenue!K59</f>
        <v>99.28798287250001</v>
      </c>
      <c r="C20" s="129">
        <f t="shared" si="4"/>
        <v>9.975433349609375</v>
      </c>
      <c r="D20" s="130">
        <f t="shared" ca="1" si="0"/>
        <v>89.312549522890635</v>
      </c>
      <c r="E20" s="130">
        <f t="shared" ca="1" si="2"/>
        <v>66.984412142167969</v>
      </c>
      <c r="F20" s="131">
        <f t="shared" ca="1" si="3"/>
        <v>19.138403469190848</v>
      </c>
      <c r="G20" s="131">
        <f t="shared" ca="1" si="1"/>
        <v>9.8221898621101307</v>
      </c>
    </row>
    <row r="21" spans="1:7" x14ac:dyDescent="0.25">
      <c r="A21" s="112">
        <v>2032</v>
      </c>
      <c r="B21" s="129">
        <f ca="1" xml:space="preserve"> Revenue!K60</f>
        <v>112.204446225</v>
      </c>
      <c r="C21" s="129">
        <f t="shared" si="4"/>
        <v>12.469291687011719</v>
      </c>
      <c r="D21" s="130">
        <f t="shared" ca="1" si="0"/>
        <v>99.735154537988279</v>
      </c>
      <c r="E21" s="130">
        <f t="shared" ca="1" si="2"/>
        <v>74.801365903491217</v>
      </c>
      <c r="F21" s="131">
        <f t="shared" ca="1" si="3"/>
        <v>21.37181882956892</v>
      </c>
      <c r="G21" s="131">
        <f t="shared" ca="1" si="1"/>
        <v>10.090947114482567</v>
      </c>
    </row>
    <row r="22" spans="1:7" x14ac:dyDescent="0.25">
      <c r="A22" s="112">
        <v>2033</v>
      </c>
      <c r="B22" s="129">
        <f ca="1" xml:space="preserve"> Revenue!K61</f>
        <v>122.981441105</v>
      </c>
      <c r="C22" s="129">
        <f t="shared" si="4"/>
        <v>15.586614608764648</v>
      </c>
      <c r="D22" s="130">
        <f t="shared" ca="1" si="0"/>
        <v>107.39482649623535</v>
      </c>
      <c r="E22" s="130">
        <f t="shared" ca="1" si="2"/>
        <v>80.546119872176519</v>
      </c>
      <c r="F22" s="131">
        <f t="shared" ca="1" si="3"/>
        <v>23.013177106336148</v>
      </c>
      <c r="G22" s="131">
        <f t="shared" ca="1" si="1"/>
        <v>9.9966584299960424</v>
      </c>
    </row>
    <row r="23" spans="1:7" x14ac:dyDescent="0.25">
      <c r="A23" s="112">
        <v>2034</v>
      </c>
      <c r="B23" s="129">
        <f ca="1" xml:space="preserve"> Revenue!K62</f>
        <v>133.47743979500001</v>
      </c>
      <c r="C23" s="129">
        <f t="shared" si="4"/>
        <v>19.483268260955811</v>
      </c>
      <c r="D23" s="130">
        <f t="shared" ca="1" si="0"/>
        <v>113.9941715340442</v>
      </c>
      <c r="E23" s="130">
        <f t="shared" ca="1" si="2"/>
        <v>85.495628650533149</v>
      </c>
      <c r="F23" s="131">
        <f t="shared" ca="1" si="3"/>
        <v>24.427322471580901</v>
      </c>
      <c r="G23" s="131">
        <f t="shared" ca="1" si="1"/>
        <v>9.7620711013120474</v>
      </c>
    </row>
    <row r="24" spans="1:7" x14ac:dyDescent="0.25">
      <c r="A24" s="112">
        <v>2035</v>
      </c>
      <c r="B24" s="129">
        <f ca="1" xml:space="preserve"> Revenue!K63</f>
        <v>144.22056535000002</v>
      </c>
      <c r="C24" s="129">
        <f t="shared" si="4"/>
        <v>24.354085326194763</v>
      </c>
      <c r="D24" s="130">
        <f t="shared" ca="1" si="0"/>
        <v>119.86648002380525</v>
      </c>
      <c r="E24" s="130">
        <f t="shared" ca="1" si="2"/>
        <v>89.899860017853939</v>
      </c>
      <c r="F24" s="131">
        <f t="shared" ca="1" si="3"/>
        <v>25.68567429081541</v>
      </c>
      <c r="G24" s="131">
        <f t="shared" ca="1" si="1"/>
        <v>9.4437590809839858</v>
      </c>
    </row>
    <row r="25" spans="1:7" x14ac:dyDescent="0.25">
      <c r="A25" s="112">
        <v>2036</v>
      </c>
      <c r="B25" s="129">
        <f ca="1" xml:space="preserve"> Revenue!K64</f>
        <v>154.91037652</v>
      </c>
      <c r="C25" s="129">
        <f t="shared" si="4"/>
        <v>30.442606657743454</v>
      </c>
      <c r="D25" s="130">
        <f t="shared" ca="1" si="0"/>
        <v>124.46776986225655</v>
      </c>
      <c r="E25" s="130">
        <f t="shared" ca="1" si="2"/>
        <v>93.350827396692409</v>
      </c>
      <c r="F25" s="131">
        <f t="shared" ca="1" si="3"/>
        <v>26.671664970483544</v>
      </c>
      <c r="G25" s="131">
        <f t="shared" ca="1" si="1"/>
        <v>9.0217727354438342</v>
      </c>
    </row>
    <row r="26" spans="1:7" x14ac:dyDescent="0.25">
      <c r="A26" s="112">
        <v>2037</v>
      </c>
      <c r="B26" s="129">
        <f ca="1" xml:space="preserve"> Revenue!K65</f>
        <v>164.45173707499998</v>
      </c>
      <c r="C26" s="129">
        <f t="shared" si="4"/>
        <v>38.053258322179317</v>
      </c>
      <c r="D26" s="130">
        <f t="shared" ref="D26:D31" ca="1" si="5" xml:space="preserve"> B26 - C26</f>
        <v>126.39847875282067</v>
      </c>
      <c r="E26" s="130">
        <f t="shared" ca="1" si="2"/>
        <v>94.798859064615499</v>
      </c>
      <c r="F26" s="131">
        <f t="shared" ca="1" si="3"/>
        <v>27.085388304175858</v>
      </c>
      <c r="G26" s="131">
        <f t="shared" ca="1" si="1"/>
        <v>8.4287786518685248</v>
      </c>
    </row>
    <row r="27" spans="1:7" x14ac:dyDescent="0.25">
      <c r="A27" s="112">
        <v>2038</v>
      </c>
      <c r="B27" s="129">
        <f ca="1" xml:space="preserve"> Revenue!K66</f>
        <v>171.71313106249997</v>
      </c>
      <c r="C27" s="129">
        <f t="shared" si="4"/>
        <v>47.566572902724147</v>
      </c>
      <c r="D27" s="130">
        <f t="shared" ca="1" si="5"/>
        <v>124.14655815977582</v>
      </c>
      <c r="E27" s="130">
        <f t="shared" ca="1" si="2"/>
        <v>93.109918619831859</v>
      </c>
      <c r="F27" s="131">
        <f t="shared" ca="1" si="3"/>
        <v>26.602833891380531</v>
      </c>
      <c r="G27" s="131">
        <f t="shared" ca="1" si="1"/>
        <v>7.6163222840131182</v>
      </c>
    </row>
    <row r="28" spans="1:7" x14ac:dyDescent="0.25">
      <c r="A28" s="112">
        <v>2039</v>
      </c>
      <c r="B28" s="129">
        <f ca="1" xml:space="preserve"> Revenue!K67</f>
        <v>176.43727081999998</v>
      </c>
      <c r="C28" s="129">
        <f t="shared" si="4"/>
        <v>59.458216128405184</v>
      </c>
      <c r="D28" s="130">
        <f t="shared" ca="1" si="5"/>
        <v>116.9790546915948</v>
      </c>
      <c r="E28" s="130">
        <f t="shared" ca="1" si="2"/>
        <v>87.734291018696098</v>
      </c>
      <c r="F28" s="131">
        <f t="shared" ca="1" si="3"/>
        <v>25.066940291056028</v>
      </c>
      <c r="G28" s="131">
        <f t="shared" ca="1" si="1"/>
        <v>6.6024719386471986</v>
      </c>
    </row>
    <row r="29" spans="1:7" x14ac:dyDescent="0.25">
      <c r="A29" s="112">
        <v>2040</v>
      </c>
      <c r="B29" s="129">
        <f ca="1" xml:space="preserve"> Revenue!K68</f>
        <v>179.2250388475</v>
      </c>
      <c r="C29" s="129">
        <f t="shared" si="4"/>
        <v>74.322770160506479</v>
      </c>
      <c r="D29" s="130">
        <f t="shared" ca="1" si="5"/>
        <v>104.90226868699352</v>
      </c>
      <c r="E29" s="130">
        <f t="shared" ca="1" si="2"/>
        <v>78.676701515245142</v>
      </c>
      <c r="F29" s="131">
        <f t="shared" ca="1" si="3"/>
        <v>22.479057575784328</v>
      </c>
      <c r="G29" s="131">
        <f t="shared" ca="1" si="1"/>
        <v>5.4471729504203612</v>
      </c>
    </row>
    <row r="30" spans="1:7" x14ac:dyDescent="0.25">
      <c r="A30" s="112">
        <v>2041</v>
      </c>
      <c r="B30" s="129">
        <f ca="1" xml:space="preserve"> Revenue!K69</f>
        <v>180.76550551399998</v>
      </c>
      <c r="C30" s="129">
        <f t="shared" si="4"/>
        <v>92.903462700633099</v>
      </c>
      <c r="D30" s="130">
        <f t="shared" ca="1" si="5"/>
        <v>87.862042813366884</v>
      </c>
      <c r="E30" s="130">
        <f t="shared" ca="1" si="2"/>
        <v>65.896532110025163</v>
      </c>
      <c r="F30" s="131">
        <f t="shared" ca="1" si="3"/>
        <v>18.827580602864334</v>
      </c>
      <c r="G30" s="131">
        <f t="shared" ca="1" si="1"/>
        <v>4.1973521550512354</v>
      </c>
    </row>
    <row r="31" spans="1:7" x14ac:dyDescent="0.25">
      <c r="A31" s="112">
        <v>2042</v>
      </c>
      <c r="B31" s="129">
        <f ca="1" xml:space="preserve"> Revenue!K70</f>
        <v>181.7584040655</v>
      </c>
      <c r="C31" s="129">
        <f t="shared" si="4"/>
        <v>116.12932837579137</v>
      </c>
      <c r="D31" s="130">
        <f t="shared" ca="1" si="5"/>
        <v>65.629075689708628</v>
      </c>
      <c r="E31" s="130">
        <f t="shared" ca="1" si="2"/>
        <v>49.221806767281471</v>
      </c>
      <c r="F31" s="131">
        <f t="shared" ca="1" si="3"/>
        <v>14.063373362080421</v>
      </c>
      <c r="G31" s="131">
        <f t="shared" ca="1" si="1"/>
        <v>2.8844181945112473</v>
      </c>
    </row>
    <row r="33" spans="1:5" ht="15.75" x14ac:dyDescent="0.25">
      <c r="A33" s="6" t="s">
        <v>133</v>
      </c>
    </row>
    <row r="34" spans="1:5" x14ac:dyDescent="0.25">
      <c r="A34" s="4" t="s">
        <v>107</v>
      </c>
      <c r="D34" s="126">
        <f ca="1" xml:space="preserve"> AVERAGE(F17:F19)</f>
        <v>11.94328233454018</v>
      </c>
      <c r="E34" s="4" t="s">
        <v>38</v>
      </c>
    </row>
    <row r="35" spans="1:5" x14ac:dyDescent="0.25">
      <c r="A35" s="4" t="s">
        <v>108</v>
      </c>
      <c r="D35" s="105">
        <v>20</v>
      </c>
    </row>
    <row r="36" spans="1:5" x14ac:dyDescent="0.25">
      <c r="A36" s="4" t="s">
        <v>109</v>
      </c>
      <c r="D36" s="105">
        <v>10</v>
      </c>
      <c r="E36" s="4" t="s">
        <v>41</v>
      </c>
    </row>
    <row r="37" spans="1:5" x14ac:dyDescent="0.25">
      <c r="A37" s="4" t="s">
        <v>121</v>
      </c>
      <c r="D37" s="126">
        <f xml:space="preserve"> (1 - $D$7 * 0.01)^7</f>
        <v>0.55784660123648011</v>
      </c>
    </row>
    <row r="38" spans="1:5" x14ac:dyDescent="0.25">
      <c r="A38" s="4" t="s">
        <v>137</v>
      </c>
      <c r="D38" s="127">
        <f ca="1" xml:space="preserve"> D34 * D35 * (D36 * 0.01) * D37</f>
        <v>13.325038915861867</v>
      </c>
      <c r="E38" s="4" t="s">
        <v>38</v>
      </c>
    </row>
    <row r="39" spans="1:5" x14ac:dyDescent="0.25">
      <c r="A39" s="4" t="s">
        <v>124</v>
      </c>
      <c r="D39" s="140">
        <f ca="1" xml:space="preserve"> D38 * $D$5 / 0.49</f>
        <v>95.178849399013345</v>
      </c>
      <c r="E39" s="4" t="s">
        <v>46</v>
      </c>
    </row>
    <row r="41" spans="1:5" ht="15.75" x14ac:dyDescent="0.25">
      <c r="A41" s="6" t="s">
        <v>116</v>
      </c>
    </row>
    <row r="42" spans="1:5" x14ac:dyDescent="0.25">
      <c r="A42" s="4" t="s">
        <v>118</v>
      </c>
      <c r="D42" s="132">
        <f xml:space="preserve"> 500 * 1.4</f>
        <v>700</v>
      </c>
      <c r="E42" s="4" t="s">
        <v>46</v>
      </c>
    </row>
    <row r="43" spans="1:5" x14ac:dyDescent="0.25">
      <c r="A43" s="4" t="s">
        <v>119</v>
      </c>
      <c r="D43" s="132">
        <v>63</v>
      </c>
      <c r="E43" s="4" t="s">
        <v>98</v>
      </c>
    </row>
    <row r="44" spans="1:5" x14ac:dyDescent="0.25">
      <c r="A44" s="4" t="s">
        <v>112</v>
      </c>
      <c r="D44" s="126">
        <f>D42 / D43</f>
        <v>11.111111111111111</v>
      </c>
      <c r="E44" s="4" t="s">
        <v>38</v>
      </c>
    </row>
    <row r="45" spans="1:5" x14ac:dyDescent="0.25">
      <c r="A45" s="4" t="s">
        <v>120</v>
      </c>
      <c r="D45" s="126">
        <f xml:space="preserve"> 14 * 1.4</f>
        <v>19.599999999999998</v>
      </c>
      <c r="E45" s="4" t="s">
        <v>38</v>
      </c>
    </row>
    <row r="46" spans="1:5" x14ac:dyDescent="0.25">
      <c r="A46" s="4" t="s">
        <v>117</v>
      </c>
      <c r="D46" s="126">
        <f xml:space="preserve"> D45 / D44</f>
        <v>1.7639999999999998</v>
      </c>
    </row>
    <row r="47" spans="1:5" x14ac:dyDescent="0.25">
      <c r="A47" s="4" t="s">
        <v>132</v>
      </c>
      <c r="D47" s="126">
        <f xml:space="preserve"> D43 * D45</f>
        <v>1234.8</v>
      </c>
      <c r="E47" s="4" t="s">
        <v>46</v>
      </c>
    </row>
    <row r="49" spans="1:5" x14ac:dyDescent="0.25">
      <c r="A49" s="4" t="s">
        <v>111</v>
      </c>
      <c r="D49" s="132">
        <f ca="1" xml:space="preserve"> AVERAGE(B17:B19)</f>
        <v>62.22599952733335</v>
      </c>
      <c r="E49" s="4" t="s">
        <v>46</v>
      </c>
    </row>
    <row r="50" spans="1:5" x14ac:dyDescent="0.25">
      <c r="A50" s="4" t="s">
        <v>113</v>
      </c>
      <c r="D50" s="126">
        <f xml:space="preserve"> D5</f>
        <v>3.5</v>
      </c>
      <c r="E50" s="4" t="s">
        <v>98</v>
      </c>
    </row>
    <row r="51" spans="1:5" x14ac:dyDescent="0.25">
      <c r="A51" s="4" t="s">
        <v>114</v>
      </c>
      <c r="D51" s="126">
        <f ca="1">D49 / D50</f>
        <v>17.778857007809528</v>
      </c>
      <c r="E51" s="4" t="s">
        <v>38</v>
      </c>
    </row>
    <row r="52" spans="1:5" x14ac:dyDescent="0.25">
      <c r="A52" s="4" t="s">
        <v>121</v>
      </c>
      <c r="D52" s="126">
        <f xml:space="preserve"> (1 - $D$7 * 0.01)^7</f>
        <v>0.55784660123648011</v>
      </c>
    </row>
    <row r="53" spans="1:5" x14ac:dyDescent="0.25">
      <c r="A53" s="4" t="s">
        <v>115</v>
      </c>
      <c r="D53" s="127">
        <f ca="1" xml:space="preserve"> D51 * D46 * D52</f>
        <v>17.495131421812324</v>
      </c>
      <c r="E53" s="4" t="s">
        <v>38</v>
      </c>
    </row>
    <row r="54" spans="1:5" x14ac:dyDescent="0.25">
      <c r="A54" s="4" t="s">
        <v>138</v>
      </c>
      <c r="D54" s="140">
        <f ca="1" xml:space="preserve"> D53 * $D$5 / 0.49</f>
        <v>124.96522444151661</v>
      </c>
      <c r="E54" s="4" t="s">
        <v>46</v>
      </c>
    </row>
    <row r="56" spans="1:5" ht="15.75" x14ac:dyDescent="0.25">
      <c r="A56" s="6" t="s">
        <v>123</v>
      </c>
    </row>
    <row r="57" spans="1:5" x14ac:dyDescent="0.25">
      <c r="A57" s="4" t="s">
        <v>109</v>
      </c>
      <c r="D57" s="105">
        <v>10</v>
      </c>
      <c r="E57" s="4" t="s">
        <v>41</v>
      </c>
    </row>
    <row r="58" spans="1:5" x14ac:dyDescent="0.25">
      <c r="A58" s="4" t="s">
        <v>137</v>
      </c>
      <c r="D58" s="127">
        <f ca="1" xml:space="preserve"> SUM(G12:G31) * (D57 * 0.01)</f>
        <v>11.44259584474262</v>
      </c>
      <c r="E58" s="4" t="s">
        <v>38</v>
      </c>
    </row>
    <row r="59" spans="1:5" x14ac:dyDescent="0.25">
      <c r="A59" s="4" t="s">
        <v>124</v>
      </c>
      <c r="D59" s="140">
        <f ca="1" xml:space="preserve"> D58 * $D$5 / 0.49</f>
        <v>81.73282746244729</v>
      </c>
      <c r="E59" s="4" t="s">
        <v>46</v>
      </c>
    </row>
  </sheetData>
  <pageMargins left="0.7" right="0.7" top="0.75" bottom="0.75" header="0.3" footer="0.3"/>
  <drawing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Intro</vt:lpstr>
      <vt:lpstr>Crop Data</vt:lpstr>
      <vt:lpstr>Frost &amp; Drought Analysis</vt:lpstr>
      <vt:lpstr>Revenue</vt:lpstr>
      <vt:lpstr>Costs</vt:lpstr>
      <vt:lpstr>Earnings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Evans</dc:creator>
  <cp:lastModifiedBy>David</cp:lastModifiedBy>
  <dcterms:created xsi:type="dcterms:W3CDTF">2018-06-08T05:12:09Z</dcterms:created>
  <dcterms:modified xsi:type="dcterms:W3CDTF">2023-02-15T07:49:52Z</dcterms:modified>
</cp:coreProperties>
</file>