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avid\Documents\Green Blueprint\"/>
    </mc:Choice>
  </mc:AlternateContent>
  <xr:revisionPtr revIDLastSave="0" documentId="13_ncr:1_{41AEC4E5-7225-4E3C-A701-1A264C0BCDFB}" xr6:coauthVersionLast="47" xr6:coauthVersionMax="47" xr10:uidLastSave="{00000000-0000-0000-0000-000000000000}"/>
  <bookViews>
    <workbookView xWindow="83010" yWindow="0" windowWidth="38160" windowHeight="30945" xr2:uid="{06044268-EFEF-4112-B63D-77AE6FC96859}"/>
  </bookViews>
  <sheets>
    <sheet name="Share Register" sheetId="24" r:id="rId1"/>
    <sheet name="Investor List 21 - A" sheetId="25" r:id="rId2"/>
    <sheet name="Investor List 21 - B" sheetId="26" r:id="rId3"/>
  </sheets>
  <calcPr calcId="191029"/>
</workbook>
</file>

<file path=xl/calcChain.xml><?xml version="1.0" encoding="utf-8"?>
<calcChain xmlns="http://schemas.openxmlformats.org/spreadsheetml/2006/main">
  <c r="D14" i="24" l="1"/>
  <c r="D15" i="24"/>
  <c r="D12" i="24"/>
  <c r="D13" i="24"/>
  <c r="A10" i="24"/>
  <c r="A11" i="24"/>
  <c r="D10" i="24"/>
  <c r="D11" i="24"/>
  <c r="A9" i="24"/>
  <c r="D8" i="24"/>
  <c r="A8" i="24"/>
  <c r="D9" i="24"/>
  <c r="D47" i="26"/>
  <c r="D46" i="26"/>
  <c r="D41" i="26"/>
  <c r="D42" i="26"/>
  <c r="D43" i="26" s="1"/>
  <c r="E40" i="26"/>
  <c r="D40" i="26"/>
  <c r="E38" i="26"/>
  <c r="D38" i="26"/>
  <c r="F38" i="26" s="1"/>
  <c r="N13" i="24" l="1"/>
  <c r="N14" i="24"/>
  <c r="N15" i="24"/>
  <c r="N16" i="24"/>
  <c r="Q16" i="24" s="1"/>
  <c r="N17" i="24"/>
  <c r="N18" i="24"/>
  <c r="N19" i="24"/>
  <c r="N20" i="24"/>
  <c r="N21" i="24"/>
  <c r="N22" i="24"/>
  <c r="N24" i="24"/>
  <c r="N12" i="24"/>
  <c r="N9" i="24"/>
  <c r="N10" i="24"/>
  <c r="N11" i="24"/>
  <c r="N8" i="24"/>
  <c r="Q13" i="24"/>
  <c r="Q21" i="24"/>
  <c r="Q12" i="24"/>
  <c r="H18" i="26"/>
  <c r="F18" i="26"/>
  <c r="G15" i="26"/>
  <c r="H14" i="26"/>
  <c r="G14" i="26"/>
  <c r="F14" i="26"/>
  <c r="G12" i="26"/>
  <c r="H11" i="26"/>
  <c r="F11" i="26"/>
  <c r="F7" i="26"/>
  <c r="F19" i="26" s="1"/>
  <c r="G4" i="26"/>
  <c r="Q9" i="25"/>
  <c r="F9" i="25"/>
  <c r="E6" i="25" s="1"/>
  <c r="D8" i="25"/>
  <c r="N7" i="25"/>
  <c r="J7" i="25"/>
  <c r="H7" i="25"/>
  <c r="D7" i="25"/>
  <c r="R6" i="25"/>
  <c r="N6" i="25"/>
  <c r="O6" i="25" s="1"/>
  <c r="L6" i="25"/>
  <c r="S6" i="25" s="1"/>
  <c r="J6" i="25"/>
  <c r="I6" i="25"/>
  <c r="H6" i="25"/>
  <c r="D6" i="25"/>
  <c r="R5" i="25"/>
  <c r="N5" i="25"/>
  <c r="L5" i="25" s="1"/>
  <c r="J5" i="25"/>
  <c r="H5" i="25"/>
  <c r="E5" i="25"/>
  <c r="D5" i="25"/>
  <c r="R4" i="25"/>
  <c r="J4" i="25"/>
  <c r="N4" i="25" s="1"/>
  <c r="E4" i="25"/>
  <c r="D4" i="25"/>
  <c r="D9" i="25" s="1"/>
  <c r="Q17" i="24" l="1"/>
  <c r="N27" i="24"/>
  <c r="Q15" i="24"/>
  <c r="Q22" i="24"/>
  <c r="Q14" i="24"/>
  <c r="Q20" i="24"/>
  <c r="Q19" i="24"/>
  <c r="Q18" i="24"/>
  <c r="G5" i="26"/>
  <c r="G16" i="26"/>
  <c r="G18" i="26" s="1"/>
  <c r="E9" i="25"/>
  <c r="S5" i="25"/>
  <c r="T5" i="25"/>
  <c r="O4" i="25"/>
  <c r="L4" i="25"/>
  <c r="N9" i="25"/>
  <c r="M7" i="25" s="1"/>
  <c r="M4" i="25"/>
  <c r="H4" i="25"/>
  <c r="H9" i="25" s="1"/>
  <c r="O7" i="25"/>
  <c r="I4" i="25"/>
  <c r="O5" i="25"/>
  <c r="E7" i="25"/>
  <c r="J9" i="25"/>
  <c r="I7" i="25"/>
  <c r="E8" i="25"/>
  <c r="I5" i="25"/>
  <c r="L7" i="25"/>
  <c r="S7" i="25" s="1"/>
  <c r="Q24" i="24"/>
  <c r="N23" i="24"/>
  <c r="E26" i="24"/>
  <c r="E27" i="24"/>
  <c r="D26" i="24"/>
  <c r="A26" i="24"/>
  <c r="D27" i="24" l="1"/>
  <c r="D28" i="24" s="1"/>
  <c r="Q23" i="24"/>
  <c r="G6" i="26"/>
  <c r="H5" i="26"/>
  <c r="M8" i="25"/>
  <c r="M9" i="25" s="1"/>
  <c r="M6" i="25"/>
  <c r="M5" i="25"/>
  <c r="L9" i="25"/>
  <c r="S4" i="25"/>
  <c r="S9" i="25" s="1"/>
  <c r="O9" i="25"/>
  <c r="I9" i="25"/>
  <c r="A27" i="24"/>
  <c r="E28" i="24"/>
  <c r="H6" i="26" l="1"/>
  <c r="H7" i="26" s="1"/>
  <c r="H19" i="26" s="1"/>
  <c r="H24" i="26" s="1"/>
  <c r="G7" i="26"/>
  <c r="Q10" i="24"/>
  <c r="G8" i="26" l="1"/>
  <c r="G11" i="26" s="1"/>
  <c r="G19" i="26" s="1"/>
  <c r="Q11" i="24"/>
  <c r="Q9" i="24"/>
  <c r="Q8" i="24"/>
  <c r="N26" i="24" l="1"/>
  <c r="J4" i="24" s="1"/>
  <c r="O10" i="24" l="1"/>
  <c r="P10" i="24" s="1"/>
  <c r="O24" i="24"/>
  <c r="P24" i="24" s="1"/>
  <c r="O20" i="24"/>
  <c r="P20" i="24" s="1"/>
  <c r="O11" i="24"/>
  <c r="P11" i="24" s="1"/>
  <c r="O8" i="24"/>
  <c r="O21" i="24"/>
  <c r="P21" i="24" s="1"/>
  <c r="O17" i="24"/>
  <c r="P17" i="24" s="1"/>
  <c r="O15" i="24"/>
  <c r="P15" i="24" s="1"/>
  <c r="O19" i="24"/>
  <c r="P19" i="24" s="1"/>
  <c r="O16" i="24"/>
  <c r="P16" i="24" s="1"/>
  <c r="O18" i="24"/>
  <c r="P18" i="24" s="1"/>
  <c r="O12" i="24"/>
  <c r="P12" i="24" s="1"/>
  <c r="O22" i="24"/>
  <c r="P22" i="24" s="1"/>
  <c r="O14" i="24"/>
  <c r="P14" i="24" s="1"/>
  <c r="O9" i="24"/>
  <c r="P9" i="24" s="1"/>
  <c r="O13" i="24"/>
  <c r="P13" i="24" s="1"/>
  <c r="O23" i="24"/>
  <c r="P23" i="24" s="1"/>
  <c r="O27" i="24" l="1"/>
  <c r="P8" i="24"/>
  <c r="O26" i="24"/>
  <c r="P27" i="24" l="1"/>
  <c r="P26" i="24"/>
</calcChain>
</file>

<file path=xl/sharedStrings.xml><?xml version="1.0" encoding="utf-8"?>
<sst xmlns="http://schemas.openxmlformats.org/spreadsheetml/2006/main" count="278" uniqueCount="178">
  <si>
    <t>Total</t>
  </si>
  <si>
    <t>AUD m</t>
  </si>
  <si>
    <t>Share Register</t>
  </si>
  <si>
    <t>Number of Shares</t>
  </si>
  <si>
    <t>Legal Name</t>
  </si>
  <si>
    <t>Nick Name</t>
  </si>
  <si>
    <t>Address</t>
  </si>
  <si>
    <t>Class</t>
  </si>
  <si>
    <t>Register</t>
  </si>
  <si>
    <t>Email</t>
  </si>
  <si>
    <t>Bill</t>
  </si>
  <si>
    <t>A</t>
  </si>
  <si>
    <t>Amount Remaining Unpaid</t>
  </si>
  <si>
    <t>% ownership of company</t>
  </si>
  <si>
    <t>B</t>
  </si>
  <si>
    <t>Notes</t>
  </si>
  <si>
    <t>Lance</t>
  </si>
  <si>
    <t>David</t>
  </si>
  <si>
    <t>For business advice</t>
  </si>
  <si>
    <t>Value
in AUD</t>
  </si>
  <si>
    <t>David Michael Wentworth Evans</t>
  </si>
  <si>
    <t>david.evans@sciencespeak.com</t>
  </si>
  <si>
    <t>bill.crabtree@wn.com.au</t>
  </si>
  <si>
    <t>J.Fosu-Nyarko@murdoch.edu.au</t>
  </si>
  <si>
    <t>M.Jones@murdoch.edu.au</t>
  </si>
  <si>
    <t>jclements2@bigpond.com</t>
  </si>
  <si>
    <t>Amount Paid</t>
  </si>
  <si>
    <t>$</t>
  </si>
  <si>
    <t>Number of New Shares</t>
  </si>
  <si>
    <t>Crabtree</t>
  </si>
  <si>
    <t>First</t>
  </si>
  <si>
    <t>Last</t>
  </si>
  <si>
    <t>Jon</t>
  </si>
  <si>
    <t>Clements</t>
  </si>
  <si>
    <t>Jones</t>
  </si>
  <si>
    <t>John</t>
  </si>
  <si>
    <t>Fosu-Nyarko</t>
  </si>
  <si>
    <t>Genuine investors into Green Blueprint as of 30 June 2021</t>
  </si>
  <si>
    <t>Initial</t>
  </si>
  <si>
    <t>Reassigned</t>
  </si>
  <si>
    <t>Subsequent</t>
  </si>
  <si>
    <t>A Class Shares by Holder Representative</t>
  </si>
  <si>
    <t>GB share</t>
  </si>
  <si>
    <t># Shares issued at</t>
  </si>
  <si>
    <t>Total Shares</t>
  </si>
  <si>
    <t>Initial Contributions</t>
  </si>
  <si>
    <t>Contributions/Withdrawals</t>
  </si>
  <si>
    <t>Balance (Loan)</t>
  </si>
  <si>
    <t>Adjust Req'd</t>
  </si>
  <si>
    <t>Surname</t>
  </si>
  <si>
    <t>Amount</t>
  </si>
  <si>
    <t>(%)</t>
  </si>
  <si>
    <t>William (Bill)</t>
  </si>
  <si>
    <t>Jonathan</t>
  </si>
  <si>
    <t>Michael</t>
  </si>
  <si>
    <t>m.jones@murdoch.edu.au</t>
  </si>
  <si>
    <t>J.Nyarko@greenblueprint.com.au</t>
  </si>
  <si>
    <t>Note - right to vote is 10:1 A:B Class Shares ref Clause 3.1 of the Shareholders Deed</t>
  </si>
  <si>
    <t>B Class Shares by Holder Representative</t>
  </si>
  <si>
    <t>Definite</t>
  </si>
  <si>
    <t># Shares</t>
  </si>
  <si>
    <t>Location</t>
  </si>
  <si>
    <t>Phone</t>
  </si>
  <si>
    <t>Kel</t>
  </si>
  <si>
    <t>Patterson</t>
  </si>
  <si>
    <t>Wagin, WA</t>
  </si>
  <si>
    <t>0417504442</t>
  </si>
  <si>
    <t>jenderwarra@gmail.com</t>
  </si>
  <si>
    <t>Kent</t>
  </si>
  <si>
    <t>McDowell</t>
  </si>
  <si>
    <t>Helena Valley, WA</t>
  </si>
  <si>
    <t>0408902269</t>
  </si>
  <si>
    <t>kentandpam@iinet.net.au</t>
  </si>
  <si>
    <t>Staer</t>
  </si>
  <si>
    <t>Kalamunda, WA</t>
  </si>
  <si>
    <t>0400117400</t>
  </si>
  <si>
    <t>lance.staer@thornburys.com.au</t>
  </si>
  <si>
    <t>Lewis</t>
  </si>
  <si>
    <t>Johnstone</t>
  </si>
  <si>
    <t>Williams, WA</t>
  </si>
  <si>
    <t>0418128058</t>
  </si>
  <si>
    <t>lugwardine@bigpond.com</t>
  </si>
  <si>
    <t>Brian</t>
  </si>
  <si>
    <t>Penna</t>
  </si>
  <si>
    <t>Bremer Bay, WA</t>
  </si>
  <si>
    <t>0428 796 444</t>
  </si>
  <si>
    <t>chimneycreeks@bigpond.com</t>
  </si>
  <si>
    <t>Janet</t>
  </si>
  <si>
    <t>0408 486 834</t>
  </si>
  <si>
    <t>Alwyn</t>
  </si>
  <si>
    <t>Dyer</t>
  </si>
  <si>
    <t>Kaniva, WA</t>
  </si>
  <si>
    <t>jonathan@dyerag.com.au</t>
  </si>
  <si>
    <t>Andrea</t>
  </si>
  <si>
    <t>Carmody</t>
  </si>
  <si>
    <t>Cascade, WA</t>
  </si>
  <si>
    <t>tom@claredowns.com</t>
  </si>
  <si>
    <t>Brown</t>
  </si>
  <si>
    <t>David John</t>
  </si>
  <si>
    <t>Albany, WA</t>
  </si>
  <si>
    <t>0428 447 036</t>
  </si>
  <si>
    <t>de.brown1@bigpond.com</t>
  </si>
  <si>
    <t>Eileen Ann</t>
  </si>
  <si>
    <t>Carlton</t>
  </si>
  <si>
    <t>Peter Carlton</t>
  </si>
  <si>
    <t>Northampton, WA</t>
  </si>
  <si>
    <t>gpcarlton@gmail.com</t>
  </si>
  <si>
    <t>Elliot + Jacinta</t>
  </si>
  <si>
    <t>0428271572</t>
  </si>
  <si>
    <t>ppatterson1@bordernet.com.au</t>
  </si>
  <si>
    <t>Balance to be allocated to new investors</t>
  </si>
  <si>
    <t>0417 223 395</t>
  </si>
  <si>
    <t>Peter</t>
  </si>
  <si>
    <t>David John Brown</t>
  </si>
  <si>
    <t>Eileen Ann Brown</t>
  </si>
  <si>
    <t>Eileen</t>
  </si>
  <si>
    <t>William Linklator Crabtree And Monique Fae Crabtree As Trustees For The Crabtree Family Trust</t>
  </si>
  <si>
    <t>John Fosu-Nyarko And Monica Fosu-Nyarko</t>
  </si>
  <si>
    <t>Evans</t>
  </si>
  <si>
    <t>Date Became Shareholder</t>
  </si>
  <si>
    <t>Phil</t>
  </si>
  <si>
    <t xml:space="preserve">ppatterson1@bordernet.com.au </t>
  </si>
  <si>
    <t>0417 504 442</t>
  </si>
  <si>
    <t>0408 902 269</t>
  </si>
  <si>
    <t>0400 117 400</t>
  </si>
  <si>
    <t>0418 128 058</t>
  </si>
  <si>
    <t>0428 271 572</t>
  </si>
  <si>
    <t>Founder</t>
  </si>
  <si>
    <t>For accounting</t>
  </si>
  <si>
    <t>Average Price Paid Per New Share</t>
  </si>
  <si>
    <t>08 9249 3909</t>
  </si>
  <si>
    <t>Elliot, Alexis, and Jacinta Patterson</t>
  </si>
  <si>
    <t>Shares for Phil Patterso's children - Elliot, Alexis and Jacinta</t>
  </si>
  <si>
    <t>Share value</t>
  </si>
  <si>
    <t>total</t>
  </si>
  <si>
    <t>Cost</t>
  </si>
  <si>
    <t>Percent</t>
  </si>
  <si>
    <t>100% of 1% share</t>
  </si>
  <si>
    <t>share number</t>
  </si>
  <si>
    <t>Note - they paid only $50,000 so this leaves them short $880 - we can allocate 880 less shares to them (at $1/share)</t>
  </si>
  <si>
    <t xml:space="preserve">total shares </t>
  </si>
  <si>
    <t>total cost</t>
  </si>
  <si>
    <t>39,400 @ $1 then 2,120 @ $5</t>
  </si>
  <si>
    <t>Founders Total</t>
  </si>
  <si>
    <t>#</t>
  </si>
  <si>
    <t>Assumed share price (of new shares)</t>
  </si>
  <si>
    <t>AUD</t>
  </si>
  <si>
    <t>Market Cap of GB</t>
  </si>
  <si>
    <t>Issued 10,000 Class A shares @ $0.01 on 10 Feb 2017</t>
  </si>
  <si>
    <t>Issued 190,000 Class A shares @ $0.16 on 29 Jun 2018</t>
  </si>
  <si>
    <t>Jonathan Campbell Clements and Dawn Hazel Clements As Trustees For The Clements Family Trust</t>
  </si>
  <si>
    <t>13 Morley Place, Albany WA 6330</t>
  </si>
  <si>
    <t>2 Elimatta Way, City Beach WA 6015</t>
  </si>
  <si>
    <t>117C Hastings Street, Scarborough WA 6019</t>
  </si>
  <si>
    <t>42 Hawford Way, Willeton WA 6155</t>
  </si>
  <si>
    <t>10 Killilan Road, Applecross WA</t>
  </si>
  <si>
    <t>Graham Peter Carlton</t>
  </si>
  <si>
    <t>14 Stephen Street, Northampton WA 6535</t>
  </si>
  <si>
    <t>Andrea Michelle Carmody</t>
  </si>
  <si>
    <t>2398 Mills Road, Cascade WA 6450</t>
  </si>
  <si>
    <t>306 Edenhope Road, Kaniva VIC 3419</t>
  </si>
  <si>
    <t>Dyer Farms Pty Ltd As Trustee For Tooronga Farms Retirement Fund</t>
  </si>
  <si>
    <t>JK &amp; PE Holdings Pty Ltd</t>
  </si>
  <si>
    <t>22 Redunca Close, Helena Valley WA 6056</t>
  </si>
  <si>
    <t>Kelvin E &amp; Anne M Patterson As Trustees For The Jendawarrasuperannuation Fund</t>
  </si>
  <si>
    <t>Jenderwarra 326 Ganzer Road, Minding WA 6315</t>
  </si>
  <si>
    <t>L Johnstone &amp; S.A. Johnstone</t>
  </si>
  <si>
    <t>801 Narrakine Road, Williams WA 6391</t>
  </si>
  <si>
    <t>Brian David Penna</t>
  </si>
  <si>
    <t>15 Mary Street, Bremer Bay WA 6338</t>
  </si>
  <si>
    <t>Janet Margaret Penna</t>
  </si>
  <si>
    <t>Staer Superannuation Pty Ltd As Trustee For The Staer Corporate Super Fund</t>
  </si>
  <si>
    <t>4 Chester Court, Forrestfield WA 6058</t>
  </si>
  <si>
    <t>1 Mudlark Crescent, Ballajura WA 6066</t>
  </si>
  <si>
    <t>Above from Bill Crabtree, Jan 2023</t>
  </si>
  <si>
    <t>This from Bill Crabtree, 23 Dec 2022</t>
  </si>
  <si>
    <t>Anne</t>
  </si>
  <si>
    <t>Anne Mundell Jones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</si>
</sst>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[$-C09]dd\ mmm\ yy;@"/>
    <numFmt numFmtId="165" formatCode="###0;[Red]\-###0"/>
    <numFmt numFmtId="166" formatCode="[$-C09]dd\ mmm\ yyyy;@"/>
    <numFmt numFmtId="167" formatCode="&quot;$&quot;#,##0.000;[Red]\-&quot;$&quot;#,##0.000"/>
    <numFmt numFmtId="168" formatCode="_-* #,##0_-;\-* #,##0_-;_-* &quot;-&quot;??_-;_-@_-"/>
    <numFmt numFmtId="169" formatCode="_(&quot;$&quot;* #,##0.00_);_(&quot;$&quot;* \(#,##0.00\);_(&quot;$&quot;* &quot;-&quot;??_);_(@_)"/>
    <numFmt numFmtId="170" formatCode="_(&quot;$&quot;* #,##0_);_(&quot;$&quot;* \(#,##0\);_(&quot;$&quot;* &quot;-&quot;??_);_(@_)"/>
    <numFmt numFmtId="171" formatCode="_-&quot;$&quot;* #,##0_-;\-&quot;$&quot;* #,##0_-;_-&quot;$&quot;* &quot;-&quot;??_-;_-@_-"/>
    <numFmt numFmtId="172" formatCode="#,##0.0_ ;\-#,##0.0\ "/>
    <numFmt numFmtId="173" formatCode="#,##0.00_ ;\-#,##0.00\ "/>
    <numFmt numFmtId="174" formatCode="0.0"/>
    <numFmt numFmtId="175" formatCode="&quot;$&quot;#,##0"/>
  </numFmts>
  <fonts count="1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20"/>
      <color theme="4" tint="-0.499984740745262"/>
      <name val="Calibri"/>
      <family val="2"/>
    </font>
    <font>
      <b/>
      <sz val="12"/>
      <color indexed="12"/>
      <name val="Calibri"/>
      <family val="2"/>
    </font>
    <font>
      <b/>
      <i/>
      <sz val="11"/>
      <color theme="4" tint="-0.499984740745262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8">
    <xf numFmtId="0" fontId="0" fillId="0" borderId="0"/>
    <xf numFmtId="0" fontId="5" fillId="2" borderId="0" applyFill="0" applyBorder="0" applyProtection="0">
      <alignment horizontal="left" vertical="top"/>
    </xf>
    <xf numFmtId="0" fontId="6" fillId="0" borderId="0" applyFill="0" applyBorder="0" applyProtection="0">
      <alignment horizontal="left"/>
    </xf>
    <xf numFmtId="0" fontId="2" fillId="0" borderId="1" applyFill="0" applyBorder="0" applyProtection="0">
      <alignment horizontal="left" vertical="top"/>
    </xf>
    <xf numFmtId="164" fontId="7" fillId="2" borderId="0" applyFill="0" applyBorder="0" applyProtection="0">
      <alignment horizontal="left" vertical="top"/>
    </xf>
    <xf numFmtId="38" fontId="2" fillId="0" borderId="1" applyFill="0" applyBorder="0" applyProtection="0">
      <alignment horizontal="right" vertical="top"/>
    </xf>
    <xf numFmtId="0" fontId="4" fillId="3" borderId="2" applyFill="0" applyBorder="0" applyProtection="0">
      <alignment horizontal="center" vertical="top" wrapText="1"/>
    </xf>
    <xf numFmtId="166" fontId="2" fillId="0" borderId="1" applyFill="0" applyBorder="0" applyProtection="0">
      <alignment horizontal="left" vertical="top"/>
    </xf>
    <xf numFmtId="164" fontId="1" fillId="0" borderId="1" applyFill="0" applyBorder="0" applyProtection="0">
      <alignment horizontal="left" vertical="top"/>
    </xf>
    <xf numFmtId="165" fontId="2" fillId="4" borderId="0" applyFill="0" applyBorder="0" applyProtection="0">
      <alignment horizontal="center" vertical="top"/>
    </xf>
    <xf numFmtId="0" fontId="3" fillId="3" borderId="2" applyFill="0" applyBorder="0" applyProtection="0">
      <alignment horizontal="center" vertical="top" wrapText="1"/>
    </xf>
    <xf numFmtId="0" fontId="8" fillId="0" borderId="0" applyNumberFormat="0" applyFill="0" applyBorder="0" applyAlignment="0" applyProtection="0"/>
    <xf numFmtId="9" fontId="9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94">
    <xf numFmtId="0" fontId="0" fillId="0" borderId="0" xfId="0"/>
    <xf numFmtId="0" fontId="0" fillId="5" borderId="0" xfId="0" applyFill="1"/>
    <xf numFmtId="0" fontId="6" fillId="5" borderId="0" xfId="2" applyFill="1">
      <alignment horizontal="left"/>
    </xf>
    <xf numFmtId="40" fontId="2" fillId="0" borderId="0" xfId="5" applyNumberFormat="1" applyFill="1" applyBorder="1">
      <alignment horizontal="right" vertical="top"/>
    </xf>
    <xf numFmtId="0" fontId="0" fillId="8" borderId="0" xfId="0" applyFill="1"/>
    <xf numFmtId="0" fontId="5" fillId="8" borderId="0" xfId="1" applyFill="1">
      <alignment horizontal="left" vertical="top"/>
    </xf>
    <xf numFmtId="0" fontId="2" fillId="0" borderId="0" xfId="3" applyFill="1" applyBorder="1" applyAlignment="1">
      <alignment horizontal="left" vertical="top" wrapText="1"/>
    </xf>
    <xf numFmtId="0" fontId="2" fillId="0" borderId="0" xfId="3" applyFill="1" applyBorder="1" applyAlignment="1">
      <alignment horizontal="center" vertical="top"/>
    </xf>
    <xf numFmtId="164" fontId="7" fillId="5" borderId="0" xfId="4" applyFill="1">
      <alignment horizontal="left" vertical="top"/>
    </xf>
    <xf numFmtId="164" fontId="7" fillId="5" borderId="0" xfId="4" applyFill="1" applyAlignment="1">
      <alignment horizontal="right" vertical="top"/>
    </xf>
    <xf numFmtId="0" fontId="8" fillId="0" borderId="0" xfId="11" applyFill="1" applyBorder="1" applyAlignment="1">
      <alignment horizontal="left" vertical="top" wrapText="1"/>
    </xf>
    <xf numFmtId="0" fontId="2" fillId="9" borderId="0" xfId="3" applyFill="1" applyBorder="1" applyAlignment="1">
      <alignment horizontal="center" vertical="top"/>
    </xf>
    <xf numFmtId="0" fontId="4" fillId="7" borderId="2" xfId="6" applyFill="1" applyBorder="1">
      <alignment horizontal="center" vertical="top" wrapText="1"/>
    </xf>
    <xf numFmtId="0" fontId="3" fillId="7" borderId="2" xfId="10" applyFill="1" applyBorder="1">
      <alignment horizontal="center" vertical="top" wrapText="1"/>
    </xf>
    <xf numFmtId="0" fontId="4" fillId="7" borderId="4" xfId="6" applyFill="1" applyBorder="1">
      <alignment horizontal="center" vertical="top" wrapText="1"/>
    </xf>
    <xf numFmtId="0" fontId="11" fillId="0" borderId="0" xfId="13" applyFont="1"/>
    <xf numFmtId="0" fontId="10" fillId="0" borderId="0" xfId="13"/>
    <xf numFmtId="0" fontId="10" fillId="0" borderId="0" xfId="13" applyAlignment="1">
      <alignment horizontal="center"/>
    </xf>
    <xf numFmtId="0" fontId="10" fillId="0" borderId="0" xfId="13" applyAlignment="1">
      <alignment horizontal="left"/>
    </xf>
    <xf numFmtId="0" fontId="11" fillId="0" borderId="0" xfId="13" applyFont="1" applyAlignment="1">
      <alignment horizontal="center"/>
    </xf>
    <xf numFmtId="0" fontId="10" fillId="0" borderId="0" xfId="13" quotePrefix="1" applyAlignment="1">
      <alignment horizontal="center" wrapText="1"/>
    </xf>
    <xf numFmtId="0" fontId="10" fillId="0" borderId="0" xfId="13" applyAlignment="1">
      <alignment horizontal="center" wrapText="1"/>
    </xf>
    <xf numFmtId="0" fontId="11" fillId="0" borderId="0" xfId="13" applyFont="1" applyAlignment="1">
      <alignment horizontal="center" wrapText="1"/>
    </xf>
    <xf numFmtId="0" fontId="11" fillId="0" borderId="6" xfId="13" applyFont="1" applyBorder="1" applyAlignment="1">
      <alignment horizontal="center"/>
    </xf>
    <xf numFmtId="8" fontId="11" fillId="0" borderId="6" xfId="13" applyNumberFormat="1" applyFont="1" applyBorder="1" applyAlignment="1">
      <alignment horizontal="center"/>
    </xf>
    <xf numFmtId="8" fontId="11" fillId="0" borderId="0" xfId="13" applyNumberFormat="1" applyFont="1" applyAlignment="1">
      <alignment horizontal="center"/>
    </xf>
    <xf numFmtId="167" fontId="11" fillId="0" borderId="6" xfId="13" applyNumberFormat="1" applyFont="1" applyBorder="1" applyAlignment="1">
      <alignment horizontal="center"/>
    </xf>
    <xf numFmtId="8" fontId="10" fillId="0" borderId="0" xfId="13" applyNumberFormat="1"/>
    <xf numFmtId="10" fontId="0" fillId="0" borderId="0" xfId="14" applyNumberFormat="1" applyFont="1"/>
    <xf numFmtId="168" fontId="0" fillId="0" borderId="0" xfId="15" applyNumberFormat="1" applyFont="1"/>
    <xf numFmtId="169" fontId="0" fillId="0" borderId="0" xfId="16" applyFont="1"/>
    <xf numFmtId="170" fontId="0" fillId="0" borderId="0" xfId="16" applyNumberFormat="1" applyFont="1"/>
    <xf numFmtId="169" fontId="10" fillId="0" borderId="0" xfId="13" applyNumberFormat="1"/>
    <xf numFmtId="44" fontId="10" fillId="0" borderId="0" xfId="13" applyNumberFormat="1"/>
    <xf numFmtId="0" fontId="12" fillId="0" borderId="0" xfId="17"/>
    <xf numFmtId="44" fontId="11" fillId="0" borderId="6" xfId="13" applyNumberFormat="1" applyFont="1" applyBorder="1" applyAlignment="1">
      <alignment horizontal="center"/>
    </xf>
    <xf numFmtId="9" fontId="11" fillId="0" borderId="6" xfId="14" applyFont="1" applyBorder="1" applyAlignment="1">
      <alignment horizontal="center"/>
    </xf>
    <xf numFmtId="168" fontId="10" fillId="0" borderId="6" xfId="13" applyNumberFormat="1" applyBorder="1"/>
    <xf numFmtId="168" fontId="10" fillId="0" borderId="0" xfId="13" applyNumberFormat="1"/>
    <xf numFmtId="171" fontId="11" fillId="0" borderId="6" xfId="13" applyNumberFormat="1" applyFont="1" applyBorder="1" applyAlignment="1">
      <alignment horizontal="center"/>
    </xf>
    <xf numFmtId="0" fontId="10" fillId="10" borderId="0" xfId="13" applyFill="1"/>
    <xf numFmtId="0" fontId="10" fillId="0" borderId="0" xfId="13" quotePrefix="1" applyAlignment="1">
      <alignment horizontal="center"/>
    </xf>
    <xf numFmtId="0" fontId="13" fillId="0" borderId="0" xfId="17" applyFont="1"/>
    <xf numFmtId="44" fontId="0" fillId="0" borderId="0" xfId="16" applyNumberFormat="1" applyFont="1"/>
    <xf numFmtId="172" fontId="0" fillId="0" borderId="0" xfId="16" applyNumberFormat="1" applyFont="1" applyBorder="1" applyAlignment="1">
      <alignment horizontal="center"/>
    </xf>
    <xf numFmtId="44" fontId="0" fillId="0" borderId="7" xfId="16" applyNumberFormat="1" applyFont="1" applyBorder="1"/>
    <xf numFmtId="172" fontId="0" fillId="0" borderId="7" xfId="16" applyNumberFormat="1" applyFont="1" applyBorder="1" applyAlignment="1">
      <alignment horizontal="center"/>
    </xf>
    <xf numFmtId="0" fontId="14" fillId="0" borderId="0" xfId="13" applyFont="1"/>
    <xf numFmtId="44" fontId="11" fillId="0" borderId="6" xfId="16" applyNumberFormat="1" applyFont="1" applyBorder="1" applyAlignment="1">
      <alignment horizontal="center"/>
    </xf>
    <xf numFmtId="173" fontId="11" fillId="0" borderId="6" xfId="13" applyNumberFormat="1" applyFont="1" applyBorder="1" applyAlignment="1">
      <alignment horizontal="center"/>
    </xf>
    <xf numFmtId="44" fontId="0" fillId="0" borderId="0" xfId="16" applyNumberFormat="1" applyFont="1" applyBorder="1"/>
    <xf numFmtId="173" fontId="11" fillId="0" borderId="7" xfId="13" applyNumberFormat="1" applyFont="1" applyBorder="1" applyAlignment="1">
      <alignment horizontal="center"/>
    </xf>
    <xf numFmtId="172" fontId="0" fillId="0" borderId="3" xfId="16" applyNumberFormat="1" applyFont="1" applyBorder="1" applyAlignment="1">
      <alignment horizontal="center"/>
    </xf>
    <xf numFmtId="0" fontId="11" fillId="0" borderId="0" xfId="13" applyFont="1" applyAlignment="1">
      <alignment horizontal="right"/>
    </xf>
    <xf numFmtId="44" fontId="11" fillId="0" borderId="0" xfId="13" applyNumberFormat="1" applyFont="1"/>
    <xf numFmtId="174" fontId="11" fillId="0" borderId="0" xfId="13" applyNumberFormat="1" applyFont="1" applyAlignment="1">
      <alignment horizontal="center"/>
    </xf>
    <xf numFmtId="168" fontId="11" fillId="0" borderId="0" xfId="13" applyNumberFormat="1" applyFont="1"/>
    <xf numFmtId="0" fontId="13" fillId="0" borderId="0" xfId="17" applyFont="1" applyBorder="1"/>
    <xf numFmtId="0" fontId="2" fillId="0" borderId="0" xfId="3" applyFill="1" applyBorder="1">
      <alignment horizontal="left" vertical="top"/>
    </xf>
    <xf numFmtId="0" fontId="3" fillId="7" borderId="2" xfId="10" applyFill="1" applyBorder="1" applyAlignment="1">
      <alignment horizontal="left" vertical="top" wrapText="1"/>
    </xf>
    <xf numFmtId="0" fontId="3" fillId="7" borderId="4" xfId="10" applyFill="1" applyBorder="1">
      <alignment horizontal="center" vertical="top" wrapText="1"/>
    </xf>
    <xf numFmtId="38" fontId="2" fillId="6" borderId="1" xfId="5" applyFill="1" applyBorder="1">
      <alignment horizontal="right" vertical="top"/>
    </xf>
    <xf numFmtId="40" fontId="2" fillId="6" borderId="1" xfId="5" applyNumberFormat="1" applyFill="1" applyBorder="1">
      <alignment horizontal="right" vertical="top"/>
    </xf>
    <xf numFmtId="0" fontId="0" fillId="5" borderId="1" xfId="0" applyFill="1" applyBorder="1"/>
    <xf numFmtId="38" fontId="0" fillId="5" borderId="1" xfId="0" applyNumberFormat="1" applyFill="1" applyBorder="1"/>
    <xf numFmtId="38" fontId="2" fillId="9" borderId="1" xfId="5" applyFill="1" applyBorder="1">
      <alignment horizontal="right" vertical="top"/>
    </xf>
    <xf numFmtId="40" fontId="2" fillId="9" borderId="1" xfId="5" applyNumberFormat="1" applyFill="1" applyBorder="1">
      <alignment horizontal="right" vertical="top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6" fontId="0" fillId="0" borderId="0" xfId="0" applyNumberFormat="1" applyAlignment="1">
      <alignment horizontal="center"/>
    </xf>
    <xf numFmtId="9" fontId="0" fillId="0" borderId="0" xfId="0" applyNumberFormat="1"/>
    <xf numFmtId="175" fontId="0" fillId="0" borderId="0" xfId="0" applyNumberFormat="1" applyAlignment="1">
      <alignment horizontal="center"/>
    </xf>
    <xf numFmtId="3" fontId="0" fillId="0" borderId="0" xfId="0" applyNumberFormat="1"/>
    <xf numFmtId="9" fontId="0" fillId="0" borderId="0" xfId="12" applyFont="1" applyAlignment="1">
      <alignment horizontal="center"/>
    </xf>
    <xf numFmtId="0" fontId="0" fillId="0" borderId="0" xfId="0" quotePrefix="1" applyAlignment="1">
      <alignment horizontal="left"/>
    </xf>
    <xf numFmtId="0" fontId="10" fillId="10" borderId="0" xfId="13" applyFill="1" applyAlignment="1">
      <alignment horizontal="right"/>
    </xf>
    <xf numFmtId="0" fontId="0" fillId="10" borderId="0" xfId="0" applyFill="1" applyAlignment="1">
      <alignment horizontal="center"/>
    </xf>
    <xf numFmtId="0" fontId="0" fillId="5" borderId="9" xfId="0" applyFill="1" applyBorder="1"/>
    <xf numFmtId="38" fontId="2" fillId="0" borderId="1" xfId="5" applyFill="1" applyBorder="1">
      <alignment horizontal="right" vertical="top"/>
    </xf>
    <xf numFmtId="38" fontId="2" fillId="0" borderId="8" xfId="5" applyFill="1" applyBorder="1" applyAlignment="1">
      <alignment horizontal="right" vertical="top" indent="1"/>
    </xf>
    <xf numFmtId="38" fontId="2" fillId="0" borderId="1" xfId="5" applyFill="1" applyBorder="1" applyAlignment="1">
      <alignment horizontal="right" vertical="top" indent="1"/>
    </xf>
    <xf numFmtId="38" fontId="2" fillId="5" borderId="1" xfId="5" applyFill="1" applyBorder="1" applyAlignment="1">
      <alignment horizontal="right" vertical="top" indent="1"/>
    </xf>
    <xf numFmtId="38" fontId="2" fillId="9" borderId="1" xfId="5" applyFill="1" applyBorder="1" applyAlignment="1">
      <alignment horizontal="right" vertical="top" indent="1"/>
    </xf>
    <xf numFmtId="38" fontId="2" fillId="9" borderId="8" xfId="5" applyFill="1" applyBorder="1" applyAlignment="1">
      <alignment horizontal="right" vertical="top" indent="1"/>
    </xf>
    <xf numFmtId="0" fontId="4" fillId="7" borderId="5" xfId="6" applyFill="1" applyBorder="1">
      <alignment horizontal="center" vertical="top" wrapText="1"/>
    </xf>
    <xf numFmtId="166" fontId="2" fillId="0" borderId="1" xfId="7" applyFill="1" applyBorder="1">
      <alignment horizontal="left" vertical="top"/>
    </xf>
    <xf numFmtId="0" fontId="3" fillId="7" borderId="4" xfId="10" applyFill="1" applyBorder="1" applyAlignment="1">
      <alignment horizontal="left" vertical="top" wrapText="1"/>
    </xf>
    <xf numFmtId="0" fontId="3" fillId="7" borderId="5" xfId="10" applyFill="1" applyBorder="1">
      <alignment horizontal="center" vertical="top" wrapText="1"/>
    </xf>
    <xf numFmtId="0" fontId="2" fillId="0" borderId="1" xfId="3" applyFill="1" applyBorder="1" applyAlignment="1">
      <alignment horizontal="left" vertical="top" wrapText="1"/>
    </xf>
    <xf numFmtId="38" fontId="2" fillId="11" borderId="8" xfId="5" applyFill="1" applyBorder="1">
      <alignment horizontal="right" vertical="top"/>
    </xf>
    <xf numFmtId="38" fontId="2" fillId="11" borderId="1" xfId="5" applyFill="1" applyBorder="1">
      <alignment horizontal="right" vertical="top"/>
    </xf>
    <xf numFmtId="38" fontId="2" fillId="7" borderId="1" xfId="5" applyFill="1" applyBorder="1">
      <alignment horizontal="right" vertical="top"/>
    </xf>
    <xf numFmtId="0" fontId="4" fillId="7" borderId="4" xfId="6" applyFill="1" applyBorder="1">
      <alignment horizontal="center" vertical="top" wrapText="1"/>
    </xf>
    <xf numFmtId="0" fontId="4" fillId="7" borderId="6" xfId="6" applyFill="1" applyBorder="1">
      <alignment horizontal="center" vertical="top" wrapText="1"/>
    </xf>
  </cellXfs>
  <cellStyles count="18">
    <cellStyle name="Banner" xfId="1" xr:uid="{00000000-0005-0000-0000-000004000000}"/>
    <cellStyle name="Col Heading" xfId="6" xr:uid="{00000000-0005-0000-0000-000001000000}"/>
    <cellStyle name="Col Unit" xfId="10" xr:uid="{056CA5C9-14B4-4C67-9574-C82A011E52DF}"/>
    <cellStyle name="Comma 2" xfId="15" xr:uid="{D594594A-DB01-4F7D-9113-BA4F0F1A0981}"/>
    <cellStyle name="Currency 2" xfId="16" xr:uid="{456C2C29-5B57-4B98-BAE3-6642C5800652}"/>
    <cellStyle name="Date" xfId="7" xr:uid="{00000000-0005-0000-0000-000000000000}"/>
    <cellStyle name="Hyperlink" xfId="11" builtinId="8"/>
    <cellStyle name="Hyperlink 2" xfId="17" xr:uid="{480060AD-8C14-4449-9445-B0D8C93140F9}"/>
    <cellStyle name="Inline Heading" xfId="4" xr:uid="{00000000-0005-0000-0000-000002000000}"/>
    <cellStyle name="Normal" xfId="0" builtinId="0"/>
    <cellStyle name="Normal 2" xfId="13" xr:uid="{FD12EE08-BE04-48CC-9B92-B11A744935D7}"/>
    <cellStyle name="Number" xfId="5" xr:uid="{00000000-0005-0000-0000-000008000000}"/>
    <cellStyle name="Percent" xfId="12" builtinId="5"/>
    <cellStyle name="Percent 2" xfId="14" xr:uid="{4A3152AA-4BFF-4E98-B5BC-F06F96AA595E}"/>
    <cellStyle name="Tbl Heading" xfId="2" xr:uid="{00000000-0005-0000-0000-000005000000}"/>
    <cellStyle name="Text" xfId="3" xr:uid="{00000000-0005-0000-0000-000009000000}"/>
    <cellStyle name="Text Small" xfId="8" xr:uid="{00000000-0005-0000-0000-00000A000000}"/>
    <cellStyle name="Year" xfId="9" xr:uid="{00000000-0005-0000-0000-00000C000000}"/>
  </cellStyles>
  <dxfs count="0"/>
  <tableStyles count="0" defaultTableStyle="TableStyleMedium2" defaultPivotStyle="PivotStyleLight16"/>
  <colors>
    <mruColors>
      <color rgb="FFC0C0C0"/>
      <color rgb="FF008000"/>
      <color rgb="FFCC9900"/>
      <color rgb="FFFFFFCC"/>
      <color rgb="FFE1FFFF"/>
      <color rgb="FFFFFFDD"/>
      <color rgb="FFCCECFF"/>
      <color rgb="FFE7FFFF"/>
      <color rgb="FFFFFFE7"/>
      <color rgb="FFE5FF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onathan@dyerag.com.au" TargetMode="External"/><Relationship Id="rId3" Type="http://schemas.openxmlformats.org/officeDocument/2006/relationships/hyperlink" Target="mailto:M.Jones@murdoch.edu.au" TargetMode="External"/><Relationship Id="rId7" Type="http://schemas.openxmlformats.org/officeDocument/2006/relationships/hyperlink" Target="mailto:tom@claredowns.com" TargetMode="External"/><Relationship Id="rId2" Type="http://schemas.openxmlformats.org/officeDocument/2006/relationships/hyperlink" Target="mailto:jclements2@bigpond.com" TargetMode="External"/><Relationship Id="rId1" Type="http://schemas.openxmlformats.org/officeDocument/2006/relationships/hyperlink" Target="mailto:david.evans@sciencespeak.com" TargetMode="External"/><Relationship Id="rId6" Type="http://schemas.openxmlformats.org/officeDocument/2006/relationships/hyperlink" Target="mailto:ppatterson1@bordernet.com.au" TargetMode="External"/><Relationship Id="rId5" Type="http://schemas.openxmlformats.org/officeDocument/2006/relationships/hyperlink" Target="mailto:bill.crabtree@wn.com.au" TargetMode="External"/><Relationship Id="rId4" Type="http://schemas.openxmlformats.org/officeDocument/2006/relationships/hyperlink" Target="mailto:J.Fosu-Nyarko@murdoch.edu.au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.Nyarko@greenblueprint.com.au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tom@claredowns.com" TargetMode="External"/><Relationship Id="rId3" Type="http://schemas.openxmlformats.org/officeDocument/2006/relationships/hyperlink" Target="mailto:lance.staer@thornburys.com.au" TargetMode="External"/><Relationship Id="rId7" Type="http://schemas.openxmlformats.org/officeDocument/2006/relationships/hyperlink" Target="mailto:chimneycreeks@bigpond.com" TargetMode="External"/><Relationship Id="rId12" Type="http://schemas.openxmlformats.org/officeDocument/2006/relationships/printerSettings" Target="../printerSettings/printerSettings3.bin"/><Relationship Id="rId2" Type="http://schemas.openxmlformats.org/officeDocument/2006/relationships/hyperlink" Target="mailto:kentandpam@iinet.net.au" TargetMode="External"/><Relationship Id="rId1" Type="http://schemas.openxmlformats.org/officeDocument/2006/relationships/hyperlink" Target="mailto:jenderwarra@gmail.com" TargetMode="External"/><Relationship Id="rId6" Type="http://schemas.openxmlformats.org/officeDocument/2006/relationships/hyperlink" Target="mailto:lugwardine@bigpond.com" TargetMode="External"/><Relationship Id="rId11" Type="http://schemas.openxmlformats.org/officeDocument/2006/relationships/hyperlink" Target="mailto:gpcarlton@gmail.com" TargetMode="External"/><Relationship Id="rId5" Type="http://schemas.openxmlformats.org/officeDocument/2006/relationships/hyperlink" Target="mailto:ppatterson1@bordernet.com.au" TargetMode="External"/><Relationship Id="rId10" Type="http://schemas.openxmlformats.org/officeDocument/2006/relationships/hyperlink" Target="mailto:de.brown1@bigpond.com" TargetMode="External"/><Relationship Id="rId4" Type="http://schemas.openxmlformats.org/officeDocument/2006/relationships/hyperlink" Target="mailto:chimneycreeks@bigpond.com" TargetMode="External"/><Relationship Id="rId9" Type="http://schemas.openxmlformats.org/officeDocument/2006/relationships/hyperlink" Target="mailto:jonathan@dyerag.com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F6B09-7F84-45D1-A452-A1C019B8D768}">
  <sheetPr codeName="Sheet1"/>
  <dimension ref="A1:Q92"/>
  <sheetViews>
    <sheetView tabSelected="1" workbookViewId="0">
      <selection activeCell="I31" sqref="I31"/>
    </sheetView>
  </sheetViews>
  <sheetFormatPr defaultRowHeight="15" x14ac:dyDescent="0.25"/>
  <cols>
    <col min="1" max="1" width="9.28515625" style="1" customWidth="1"/>
    <col min="2" max="2" width="6.140625" style="1" customWidth="1"/>
    <col min="3" max="3" width="12.28515625" style="1" customWidth="1"/>
    <col min="4" max="4" width="11.140625" style="1" customWidth="1"/>
    <col min="5" max="5" width="11.7109375" style="1" customWidth="1"/>
    <col min="6" max="7" width="11" style="1" customWidth="1"/>
    <col min="8" max="8" width="35.7109375" style="1" customWidth="1"/>
    <col min="9" max="9" width="44.5703125" style="1" customWidth="1"/>
    <col min="10" max="10" width="14.28515625" style="1" customWidth="1"/>
    <col min="11" max="11" width="33.28515625" style="1" customWidth="1"/>
    <col min="12" max="12" width="30.28515625" style="1" customWidth="1"/>
    <col min="13" max="13" width="4.85546875" style="1" customWidth="1"/>
    <col min="14" max="14" width="14" style="1" customWidth="1"/>
    <col min="15" max="15" width="12.28515625" style="1" customWidth="1"/>
    <col min="16" max="16" width="12.42578125" style="1" customWidth="1"/>
    <col min="17" max="17" width="14" style="1" customWidth="1"/>
    <col min="18" max="18" width="5.140625" style="1" customWidth="1"/>
    <col min="19" max="16384" width="9.140625" style="1"/>
  </cols>
  <sheetData>
    <row r="1" spans="1:17" s="4" customFormat="1" ht="26.25" x14ac:dyDescent="0.25">
      <c r="A1" s="5" t="s">
        <v>2</v>
      </c>
      <c r="B1" s="5"/>
      <c r="C1" s="5"/>
      <c r="D1" s="5"/>
      <c r="E1" s="5"/>
      <c r="O1" s="5"/>
      <c r="P1" s="5"/>
    </row>
    <row r="3" spans="1:17" x14ac:dyDescent="0.25">
      <c r="I3" s="9" t="s">
        <v>145</v>
      </c>
      <c r="J3" s="3">
        <v>5</v>
      </c>
      <c r="K3" s="1" t="s">
        <v>146</v>
      </c>
    </row>
    <row r="4" spans="1:17" x14ac:dyDescent="0.25">
      <c r="I4" s="9" t="s">
        <v>147</v>
      </c>
      <c r="J4" s="3">
        <f xml:space="preserve"> J3 * N26 * 0.000001</f>
        <v>13.866418349999998</v>
      </c>
      <c r="K4" s="1" t="s">
        <v>1</v>
      </c>
    </row>
    <row r="5" spans="1:17" ht="15.75" x14ac:dyDescent="0.25">
      <c r="A5" s="2" t="s">
        <v>8</v>
      </c>
      <c r="B5" s="2"/>
      <c r="C5" s="2"/>
      <c r="D5" s="2"/>
      <c r="E5" s="2"/>
      <c r="O5" s="2"/>
      <c r="P5" s="2"/>
    </row>
    <row r="6" spans="1:17" ht="46.5" customHeight="1" x14ac:dyDescent="0.25">
      <c r="A6" s="12" t="s">
        <v>3</v>
      </c>
      <c r="B6" s="14" t="s">
        <v>7</v>
      </c>
      <c r="C6" s="12" t="s">
        <v>119</v>
      </c>
      <c r="D6" s="12" t="s">
        <v>26</v>
      </c>
      <c r="E6" s="12" t="s">
        <v>12</v>
      </c>
      <c r="F6" s="92" t="s">
        <v>5</v>
      </c>
      <c r="G6" s="93"/>
      <c r="H6" s="12" t="s">
        <v>4</v>
      </c>
      <c r="I6" s="84" t="s">
        <v>6</v>
      </c>
      <c r="J6" s="12" t="s">
        <v>62</v>
      </c>
      <c r="K6" s="12" t="s">
        <v>9</v>
      </c>
      <c r="L6" s="14" t="s">
        <v>15</v>
      </c>
      <c r="M6" s="12" t="s">
        <v>144</v>
      </c>
      <c r="N6" s="12" t="s">
        <v>28</v>
      </c>
      <c r="O6" s="12" t="s">
        <v>13</v>
      </c>
      <c r="P6" s="12" t="s">
        <v>19</v>
      </c>
      <c r="Q6" s="12" t="s">
        <v>129</v>
      </c>
    </row>
    <row r="7" spans="1:17" x14ac:dyDescent="0.25">
      <c r="A7" s="13"/>
      <c r="B7" s="60"/>
      <c r="C7" s="13"/>
      <c r="D7" s="13" t="s">
        <v>27</v>
      </c>
      <c r="E7" s="13" t="s">
        <v>27</v>
      </c>
      <c r="F7" s="59" t="s">
        <v>30</v>
      </c>
      <c r="G7" s="86" t="s">
        <v>31</v>
      </c>
      <c r="H7" s="13"/>
      <c r="I7" s="87"/>
      <c r="J7" s="13"/>
      <c r="K7" s="13"/>
      <c r="L7" s="60"/>
      <c r="M7" s="13"/>
      <c r="N7" s="13"/>
      <c r="O7" s="13"/>
      <c r="P7" s="13" t="s">
        <v>27</v>
      </c>
      <c r="Q7" s="13" t="s">
        <v>27</v>
      </c>
    </row>
    <row r="8" spans="1:17" ht="45" customHeight="1" x14ac:dyDescent="0.25">
      <c r="A8" s="89">
        <f xml:space="preserve"> 3384 + 139 + 66937</f>
        <v>70460</v>
      </c>
      <c r="B8" s="7" t="s">
        <v>11</v>
      </c>
      <c r="C8" s="85">
        <v>42776</v>
      </c>
      <c r="D8" s="79">
        <f xml:space="preserve"> 3384 * 0.01 + 139 * 0.01 + 66937 * 0.15</f>
        <v>10075.779999999999</v>
      </c>
      <c r="E8" s="79">
        <v>0</v>
      </c>
      <c r="F8" s="6" t="s">
        <v>10</v>
      </c>
      <c r="G8" s="6" t="s">
        <v>29</v>
      </c>
      <c r="H8" s="88" t="s">
        <v>116</v>
      </c>
      <c r="I8" s="6" t="s">
        <v>153</v>
      </c>
      <c r="J8" s="58" t="s">
        <v>111</v>
      </c>
      <c r="K8" s="10" t="s">
        <v>22</v>
      </c>
      <c r="L8" s="6" t="s">
        <v>127</v>
      </c>
      <c r="M8" s="7">
        <v>1</v>
      </c>
      <c r="N8" s="61">
        <f xml:space="preserve"> 10 * A8</f>
        <v>704600</v>
      </c>
      <c r="O8" s="62">
        <f xml:space="preserve"> 100* N8 / $N$26</f>
        <v>25.406704969347764</v>
      </c>
      <c r="P8" s="61">
        <f xml:space="preserve"> O8 * $J$4 * 10000</f>
        <v>3522999.9999999995</v>
      </c>
      <c r="Q8" s="62">
        <f t="shared" ref="Q8:Q24" si="0" xml:space="preserve"> D8 / N8</f>
        <v>1.4299999999999998E-2</v>
      </c>
    </row>
    <row r="9" spans="1:17" ht="45" x14ac:dyDescent="0.25">
      <c r="A9" s="90">
        <f xml:space="preserve"> 139 + 2474 + 49647</f>
        <v>52260</v>
      </c>
      <c r="B9" s="7" t="s">
        <v>11</v>
      </c>
      <c r="C9" s="85">
        <v>42776</v>
      </c>
      <c r="D9" s="80">
        <f xml:space="preserve"> 139 * 0.01 + 2474 * 0.01 + 49647 * 0.15</f>
        <v>7473.1799999999994</v>
      </c>
      <c r="E9" s="80">
        <v>0</v>
      </c>
      <c r="F9" s="6" t="s">
        <v>32</v>
      </c>
      <c r="G9" s="6" t="s">
        <v>33</v>
      </c>
      <c r="H9" s="88" t="s">
        <v>150</v>
      </c>
      <c r="I9" s="6" t="s">
        <v>152</v>
      </c>
      <c r="J9" s="58"/>
      <c r="K9" s="10" t="s">
        <v>25</v>
      </c>
      <c r="L9" s="6" t="s">
        <v>127</v>
      </c>
      <c r="M9" s="7">
        <v>2</v>
      </c>
      <c r="N9" s="61">
        <f t="shared" ref="N9:N11" si="1" xml:space="preserve"> 10 * A9</f>
        <v>522600</v>
      </c>
      <c r="O9" s="62">
        <f t="shared" ref="O9:O24" si="2" xml:space="preserve"> 100* N9 / $N$26</f>
        <v>18.844087449590038</v>
      </c>
      <c r="P9" s="61">
        <f t="shared" ref="P9:P24" si="3" xml:space="preserve"> O9 * $J$4 * 10000</f>
        <v>2612999.9999999995</v>
      </c>
      <c r="Q9" s="62">
        <f t="shared" si="0"/>
        <v>1.4299999999999998E-2</v>
      </c>
    </row>
    <row r="10" spans="1:17" x14ac:dyDescent="0.25">
      <c r="A10" s="90">
        <f xml:space="preserve"> 2020 + 139 + 41021</f>
        <v>43180</v>
      </c>
      <c r="B10" s="7" t="s">
        <v>11</v>
      </c>
      <c r="C10" s="85">
        <v>42776</v>
      </c>
      <c r="D10" s="80">
        <f xml:space="preserve"> 2020 * 0.01 + 139 * 0.01 + 41021 * 0.15</f>
        <v>6174.74</v>
      </c>
      <c r="E10" s="80"/>
      <c r="F10" s="6" t="s">
        <v>176</v>
      </c>
      <c r="G10" s="6" t="s">
        <v>34</v>
      </c>
      <c r="H10" s="88" t="s">
        <v>177</v>
      </c>
      <c r="I10" s="6" t="s">
        <v>155</v>
      </c>
      <c r="J10" s="58"/>
      <c r="K10" s="10" t="s">
        <v>24</v>
      </c>
      <c r="L10" s="6" t="s">
        <v>127</v>
      </c>
      <c r="M10" s="7">
        <v>3</v>
      </c>
      <c r="N10" s="61">
        <f t="shared" si="1"/>
        <v>431800</v>
      </c>
      <c r="O10" s="62">
        <f t="shared" si="2"/>
        <v>15.569990357315305</v>
      </c>
      <c r="P10" s="61">
        <f t="shared" si="3"/>
        <v>2159000</v>
      </c>
      <c r="Q10" s="62">
        <f t="shared" si="0"/>
        <v>1.43E-2</v>
      </c>
    </row>
    <row r="11" spans="1:17" ht="30" x14ac:dyDescent="0.25">
      <c r="A11" s="90">
        <f xml:space="preserve"> 1566 + 139 + 32395</f>
        <v>34100</v>
      </c>
      <c r="B11" s="7" t="s">
        <v>11</v>
      </c>
      <c r="C11" s="85">
        <v>42776</v>
      </c>
      <c r="D11" s="80">
        <f xml:space="preserve"> 1566 * 0.01 + 139 * 0.01 + 32395 * 0.15</f>
        <v>4876.3</v>
      </c>
      <c r="E11" s="80"/>
      <c r="F11" s="6" t="s">
        <v>35</v>
      </c>
      <c r="G11" s="6" t="s">
        <v>36</v>
      </c>
      <c r="H11" s="88" t="s">
        <v>117</v>
      </c>
      <c r="I11" s="6" t="s">
        <v>154</v>
      </c>
      <c r="J11" s="58"/>
      <c r="K11" s="10" t="s">
        <v>23</v>
      </c>
      <c r="L11" s="6" t="s">
        <v>127</v>
      </c>
      <c r="M11" s="7">
        <v>4</v>
      </c>
      <c r="N11" s="61">
        <f t="shared" si="1"/>
        <v>341000</v>
      </c>
      <c r="O11" s="62">
        <f t="shared" si="2"/>
        <v>12.295893265040572</v>
      </c>
      <c r="P11" s="61">
        <f t="shared" si="3"/>
        <v>1704999.9999999998</v>
      </c>
      <c r="Q11" s="62">
        <f t="shared" si="0"/>
        <v>1.43E-2</v>
      </c>
    </row>
    <row r="12" spans="1:17" ht="45" x14ac:dyDescent="0.25">
      <c r="A12" s="78">
        <v>150000</v>
      </c>
      <c r="B12" s="7" t="s">
        <v>14</v>
      </c>
      <c r="C12" s="85">
        <v>43280</v>
      </c>
      <c r="D12" s="80">
        <f xml:space="preserve"> 150000 * 0.33</f>
        <v>49500</v>
      </c>
      <c r="E12" s="80">
        <v>0</v>
      </c>
      <c r="F12" s="6" t="s">
        <v>63</v>
      </c>
      <c r="G12" s="6" t="s">
        <v>64</v>
      </c>
      <c r="H12" s="88" t="s">
        <v>164</v>
      </c>
      <c r="I12" s="6" t="s">
        <v>165</v>
      </c>
      <c r="J12" s="58" t="s">
        <v>122</v>
      </c>
      <c r="K12" s="10" t="s">
        <v>67</v>
      </c>
      <c r="L12" s="6"/>
      <c r="M12" s="7">
        <v>5</v>
      </c>
      <c r="N12" s="61">
        <f xml:space="preserve"> A12</f>
        <v>150000</v>
      </c>
      <c r="O12" s="62">
        <f t="shared" si="2"/>
        <v>5.4087507030970263</v>
      </c>
      <c r="P12" s="61">
        <f t="shared" si="3"/>
        <v>750000</v>
      </c>
      <c r="Q12" s="62">
        <f t="shared" si="0"/>
        <v>0.33</v>
      </c>
    </row>
    <row r="13" spans="1:17" x14ac:dyDescent="0.25">
      <c r="A13" s="78">
        <v>125000</v>
      </c>
      <c r="B13" s="7" t="s">
        <v>14</v>
      </c>
      <c r="C13" s="85">
        <v>43280</v>
      </c>
      <c r="D13" s="80">
        <f xml:space="preserve"> 125000 * 0.33</f>
        <v>41250</v>
      </c>
      <c r="E13" s="80">
        <v>0</v>
      </c>
      <c r="F13" s="6" t="s">
        <v>68</v>
      </c>
      <c r="G13" s="6" t="s">
        <v>69</v>
      </c>
      <c r="H13" s="88" t="s">
        <v>162</v>
      </c>
      <c r="I13" s="6" t="s">
        <v>163</v>
      </c>
      <c r="J13" s="58" t="s">
        <v>123</v>
      </c>
      <c r="K13" s="10" t="s">
        <v>72</v>
      </c>
      <c r="L13" s="6"/>
      <c r="M13" s="7">
        <v>6</v>
      </c>
      <c r="N13" s="61">
        <f t="shared" ref="N13:N24" si="4" xml:space="preserve"> A13</f>
        <v>125000</v>
      </c>
      <c r="O13" s="62">
        <f t="shared" si="2"/>
        <v>4.5072922525808545</v>
      </c>
      <c r="P13" s="61">
        <f t="shared" si="3"/>
        <v>624999.99999999988</v>
      </c>
      <c r="Q13" s="62">
        <f t="shared" si="0"/>
        <v>0.33</v>
      </c>
    </row>
    <row r="14" spans="1:17" ht="45" x14ac:dyDescent="0.25">
      <c r="A14" s="78">
        <v>41667</v>
      </c>
      <c r="B14" s="7" t="s">
        <v>14</v>
      </c>
      <c r="C14" s="85">
        <v>43310</v>
      </c>
      <c r="D14" s="80">
        <f xml:space="preserve"> 41667 * 0.33</f>
        <v>13750.11</v>
      </c>
      <c r="E14" s="80">
        <v>0</v>
      </c>
      <c r="F14" s="6" t="s">
        <v>16</v>
      </c>
      <c r="G14" s="6" t="s">
        <v>73</v>
      </c>
      <c r="H14" s="88" t="s">
        <v>171</v>
      </c>
      <c r="I14" s="6" t="s">
        <v>172</v>
      </c>
      <c r="J14" s="58" t="s">
        <v>124</v>
      </c>
      <c r="K14" s="10" t="s">
        <v>76</v>
      </c>
      <c r="L14" s="6" t="s">
        <v>128</v>
      </c>
      <c r="M14" s="7">
        <v>7</v>
      </c>
      <c r="N14" s="61">
        <f t="shared" si="4"/>
        <v>41667</v>
      </c>
      <c r="O14" s="62">
        <f t="shared" si="2"/>
        <v>1.5024427703062919</v>
      </c>
      <c r="P14" s="61">
        <f t="shared" si="3"/>
        <v>208334.99999999997</v>
      </c>
      <c r="Q14" s="62">
        <f t="shared" si="0"/>
        <v>0.33</v>
      </c>
    </row>
    <row r="15" spans="1:17" x14ac:dyDescent="0.25">
      <c r="A15" s="78">
        <v>150000</v>
      </c>
      <c r="B15" s="7" t="s">
        <v>14</v>
      </c>
      <c r="C15" s="85">
        <v>43286</v>
      </c>
      <c r="D15" s="80">
        <f xml:space="preserve"> 150000 * 0.33</f>
        <v>49500</v>
      </c>
      <c r="E15" s="80">
        <v>0</v>
      </c>
      <c r="F15" s="6" t="s">
        <v>77</v>
      </c>
      <c r="G15" s="6" t="s">
        <v>78</v>
      </c>
      <c r="H15" s="88" t="s">
        <v>166</v>
      </c>
      <c r="I15" s="6" t="s">
        <v>167</v>
      </c>
      <c r="J15" s="58" t="s">
        <v>125</v>
      </c>
      <c r="K15" s="10" t="s">
        <v>81</v>
      </c>
      <c r="L15" s="6"/>
      <c r="M15" s="7">
        <v>8</v>
      </c>
      <c r="N15" s="61">
        <f t="shared" si="4"/>
        <v>150000</v>
      </c>
      <c r="O15" s="62">
        <f t="shared" si="2"/>
        <v>5.4087507030970263</v>
      </c>
      <c r="P15" s="61">
        <f t="shared" si="3"/>
        <v>750000</v>
      </c>
      <c r="Q15" s="62">
        <f t="shared" si="0"/>
        <v>0.33</v>
      </c>
    </row>
    <row r="16" spans="1:17" x14ac:dyDescent="0.25">
      <c r="A16" s="78">
        <v>50000</v>
      </c>
      <c r="B16" s="7" t="s">
        <v>14</v>
      </c>
      <c r="C16" s="85">
        <v>43553</v>
      </c>
      <c r="D16" s="80">
        <v>50000</v>
      </c>
      <c r="E16" s="80">
        <v>0</v>
      </c>
      <c r="F16" s="6" t="s">
        <v>82</v>
      </c>
      <c r="G16" s="6" t="s">
        <v>83</v>
      </c>
      <c r="H16" s="88" t="s">
        <v>168</v>
      </c>
      <c r="I16" s="6" t="s">
        <v>169</v>
      </c>
      <c r="J16" s="58" t="s">
        <v>85</v>
      </c>
      <c r="K16" s="10" t="s">
        <v>86</v>
      </c>
      <c r="L16" s="6"/>
      <c r="M16" s="7">
        <v>9</v>
      </c>
      <c r="N16" s="61">
        <f t="shared" si="4"/>
        <v>50000</v>
      </c>
      <c r="O16" s="62">
        <f t="shared" si="2"/>
        <v>1.802916901032342</v>
      </c>
      <c r="P16" s="61">
        <f t="shared" si="3"/>
        <v>250000</v>
      </c>
      <c r="Q16" s="62">
        <f t="shared" si="0"/>
        <v>1</v>
      </c>
    </row>
    <row r="17" spans="1:17" x14ac:dyDescent="0.25">
      <c r="A17" s="78">
        <v>50000</v>
      </c>
      <c r="B17" s="7" t="s">
        <v>14</v>
      </c>
      <c r="C17" s="85">
        <v>43553</v>
      </c>
      <c r="D17" s="80">
        <v>50000</v>
      </c>
      <c r="E17" s="80">
        <v>0</v>
      </c>
      <c r="F17" s="6" t="s">
        <v>87</v>
      </c>
      <c r="G17" s="6" t="s">
        <v>83</v>
      </c>
      <c r="H17" s="88" t="s">
        <v>170</v>
      </c>
      <c r="I17" s="6" t="s">
        <v>169</v>
      </c>
      <c r="J17" s="58" t="s">
        <v>88</v>
      </c>
      <c r="K17" s="10" t="s">
        <v>86</v>
      </c>
      <c r="L17" s="6"/>
      <c r="M17" s="7">
        <v>10</v>
      </c>
      <c r="N17" s="61">
        <f t="shared" si="4"/>
        <v>50000</v>
      </c>
      <c r="O17" s="62">
        <f t="shared" si="2"/>
        <v>1.802916901032342</v>
      </c>
      <c r="P17" s="61">
        <f t="shared" si="3"/>
        <v>250000</v>
      </c>
      <c r="Q17" s="62">
        <f t="shared" si="0"/>
        <v>1</v>
      </c>
    </row>
    <row r="18" spans="1:17" ht="30" x14ac:dyDescent="0.25">
      <c r="A18" s="78">
        <v>50000</v>
      </c>
      <c r="B18" s="7" t="s">
        <v>14</v>
      </c>
      <c r="C18" s="85">
        <v>43999</v>
      </c>
      <c r="D18" s="80">
        <v>50000</v>
      </c>
      <c r="E18" s="80">
        <v>0</v>
      </c>
      <c r="F18" s="6" t="s">
        <v>89</v>
      </c>
      <c r="G18" s="6" t="s">
        <v>90</v>
      </c>
      <c r="H18" s="88" t="s">
        <v>161</v>
      </c>
      <c r="I18" s="6" t="s">
        <v>160</v>
      </c>
      <c r="J18" s="58"/>
      <c r="K18" s="34" t="s">
        <v>92</v>
      </c>
      <c r="L18" s="6"/>
      <c r="M18" s="7">
        <v>11</v>
      </c>
      <c r="N18" s="61">
        <f t="shared" si="4"/>
        <v>50000</v>
      </c>
      <c r="O18" s="62">
        <f t="shared" si="2"/>
        <v>1.802916901032342</v>
      </c>
      <c r="P18" s="61">
        <f t="shared" si="3"/>
        <v>250000</v>
      </c>
      <c r="Q18" s="62">
        <f t="shared" si="0"/>
        <v>1</v>
      </c>
    </row>
    <row r="19" spans="1:17" ht="15.75" x14ac:dyDescent="0.25">
      <c r="A19" s="78">
        <v>21000</v>
      </c>
      <c r="B19" s="7" t="s">
        <v>14</v>
      </c>
      <c r="C19" s="85">
        <v>43999</v>
      </c>
      <c r="D19" s="80">
        <v>21000</v>
      </c>
      <c r="E19" s="80">
        <v>0</v>
      </c>
      <c r="F19" s="6" t="s">
        <v>93</v>
      </c>
      <c r="G19" s="6" t="s">
        <v>94</v>
      </c>
      <c r="H19" s="88" t="s">
        <v>158</v>
      </c>
      <c r="I19" s="6" t="s">
        <v>159</v>
      </c>
      <c r="J19" s="58"/>
      <c r="K19" s="34" t="s">
        <v>96</v>
      </c>
      <c r="L19" s="6"/>
      <c r="M19" s="7">
        <v>12</v>
      </c>
      <c r="N19" s="61">
        <f t="shared" si="4"/>
        <v>21000</v>
      </c>
      <c r="O19" s="62">
        <f t="shared" si="2"/>
        <v>0.75722509843358365</v>
      </c>
      <c r="P19" s="61">
        <f t="shared" si="3"/>
        <v>105000</v>
      </c>
      <c r="Q19" s="62">
        <f t="shared" si="0"/>
        <v>1</v>
      </c>
    </row>
    <row r="20" spans="1:17" x14ac:dyDescent="0.25">
      <c r="A20" s="78">
        <v>26000</v>
      </c>
      <c r="B20" s="7" t="s">
        <v>14</v>
      </c>
      <c r="C20" s="85">
        <v>44186</v>
      </c>
      <c r="D20" s="80">
        <v>26000</v>
      </c>
      <c r="E20" s="80">
        <v>0</v>
      </c>
      <c r="F20" s="6" t="s">
        <v>97</v>
      </c>
      <c r="G20" s="6" t="s">
        <v>17</v>
      </c>
      <c r="H20" s="88" t="s">
        <v>113</v>
      </c>
      <c r="I20" s="6" t="s">
        <v>151</v>
      </c>
      <c r="J20" s="58" t="s">
        <v>100</v>
      </c>
      <c r="K20" s="10" t="s">
        <v>101</v>
      </c>
      <c r="L20" s="6"/>
      <c r="M20" s="7">
        <v>13</v>
      </c>
      <c r="N20" s="61">
        <f t="shared" si="4"/>
        <v>26000</v>
      </c>
      <c r="O20" s="62">
        <f t="shared" si="2"/>
        <v>0.93751678853681786</v>
      </c>
      <c r="P20" s="61">
        <f t="shared" si="3"/>
        <v>130000</v>
      </c>
      <c r="Q20" s="62">
        <f t="shared" si="0"/>
        <v>1</v>
      </c>
    </row>
    <row r="21" spans="1:17" x14ac:dyDescent="0.25">
      <c r="A21" s="78">
        <v>26000</v>
      </c>
      <c r="B21" s="7" t="s">
        <v>14</v>
      </c>
      <c r="C21" s="85">
        <v>44186</v>
      </c>
      <c r="D21" s="80">
        <v>26000</v>
      </c>
      <c r="E21" s="80">
        <v>0</v>
      </c>
      <c r="F21" s="6" t="s">
        <v>97</v>
      </c>
      <c r="G21" s="6" t="s">
        <v>115</v>
      </c>
      <c r="H21" s="88" t="s">
        <v>114</v>
      </c>
      <c r="I21" s="6" t="s">
        <v>151</v>
      </c>
      <c r="J21" s="58"/>
      <c r="K21" s="10" t="s">
        <v>101</v>
      </c>
      <c r="L21" s="6"/>
      <c r="M21" s="7">
        <v>14</v>
      </c>
      <c r="N21" s="61">
        <f t="shared" si="4"/>
        <v>26000</v>
      </c>
      <c r="O21" s="62">
        <f t="shared" si="2"/>
        <v>0.93751678853681786</v>
      </c>
      <c r="P21" s="61">
        <f t="shared" si="3"/>
        <v>130000</v>
      </c>
      <c r="Q21" s="62">
        <f t="shared" si="0"/>
        <v>1</v>
      </c>
    </row>
    <row r="22" spans="1:17" x14ac:dyDescent="0.25">
      <c r="A22" s="78">
        <v>41666.67</v>
      </c>
      <c r="B22" s="7" t="s">
        <v>14</v>
      </c>
      <c r="C22" s="85">
        <v>44188</v>
      </c>
      <c r="D22" s="80"/>
      <c r="E22" s="80"/>
      <c r="F22" s="6" t="s">
        <v>112</v>
      </c>
      <c r="G22" s="6" t="s">
        <v>103</v>
      </c>
      <c r="H22" s="88" t="s">
        <v>156</v>
      </c>
      <c r="I22" s="6" t="s">
        <v>157</v>
      </c>
      <c r="J22" s="58"/>
      <c r="K22" s="10" t="s">
        <v>106</v>
      </c>
      <c r="L22" s="6"/>
      <c r="M22" s="7">
        <v>15</v>
      </c>
      <c r="N22" s="61">
        <f t="shared" si="4"/>
        <v>41666.67</v>
      </c>
      <c r="O22" s="62">
        <f t="shared" si="2"/>
        <v>1.5024308710547452</v>
      </c>
      <c r="P22" s="61">
        <f t="shared" si="3"/>
        <v>208333.34999999998</v>
      </c>
      <c r="Q22" s="62">
        <f t="shared" si="0"/>
        <v>0</v>
      </c>
    </row>
    <row r="23" spans="1:17" ht="15" customHeight="1" x14ac:dyDescent="0.25">
      <c r="A23" s="91">
        <v>41520</v>
      </c>
      <c r="B23" s="7" t="s">
        <v>14</v>
      </c>
      <c r="C23" s="85">
        <v>44891</v>
      </c>
      <c r="D23" s="80">
        <v>50000</v>
      </c>
      <c r="E23" s="80">
        <v>0</v>
      </c>
      <c r="F23" s="6" t="s">
        <v>120</v>
      </c>
      <c r="G23" s="6" t="s">
        <v>64</v>
      </c>
      <c r="H23" s="88" t="s">
        <v>131</v>
      </c>
      <c r="I23" s="6"/>
      <c r="J23" s="58" t="s">
        <v>126</v>
      </c>
      <c r="K23" s="10" t="s">
        <v>121</v>
      </c>
      <c r="L23" s="6" t="s">
        <v>142</v>
      </c>
      <c r="M23" s="7">
        <v>16</v>
      </c>
      <c r="N23" s="61">
        <f t="shared" si="4"/>
        <v>41520</v>
      </c>
      <c r="O23" s="62">
        <f t="shared" si="2"/>
        <v>1.4971421946172567</v>
      </c>
      <c r="P23" s="61">
        <f t="shared" si="3"/>
        <v>207599.99999999997</v>
      </c>
      <c r="Q23" s="62">
        <f t="shared" si="0"/>
        <v>1.2042389210019269</v>
      </c>
    </row>
    <row r="24" spans="1:17" x14ac:dyDescent="0.25">
      <c r="A24" s="91">
        <v>430</v>
      </c>
      <c r="B24" s="7" t="s">
        <v>14</v>
      </c>
      <c r="C24" s="85"/>
      <c r="D24" s="80">
        <v>0</v>
      </c>
      <c r="E24" s="80">
        <v>0</v>
      </c>
      <c r="F24" s="6" t="s">
        <v>17</v>
      </c>
      <c r="G24" s="6" t="s">
        <v>118</v>
      </c>
      <c r="H24" s="88" t="s">
        <v>20</v>
      </c>
      <c r="I24" s="6" t="s">
        <v>173</v>
      </c>
      <c r="J24" s="58" t="s">
        <v>130</v>
      </c>
      <c r="K24" s="10" t="s">
        <v>21</v>
      </c>
      <c r="L24" s="6" t="s">
        <v>18</v>
      </c>
      <c r="M24" s="7">
        <v>17</v>
      </c>
      <c r="N24" s="61">
        <f t="shared" si="4"/>
        <v>430</v>
      </c>
      <c r="O24" s="62">
        <f t="shared" si="2"/>
        <v>1.5505085348878142E-2</v>
      </c>
      <c r="P24" s="61">
        <f t="shared" si="3"/>
        <v>2150</v>
      </c>
      <c r="Q24" s="62">
        <f t="shared" si="0"/>
        <v>0</v>
      </c>
    </row>
    <row r="25" spans="1:17" ht="11.25" customHeight="1" x14ac:dyDescent="0.25">
      <c r="A25" s="63"/>
      <c r="D25" s="81"/>
      <c r="E25" s="81"/>
      <c r="N25" s="63"/>
      <c r="O25" s="63"/>
      <c r="P25" s="64"/>
      <c r="Q25" s="77"/>
    </row>
    <row r="26" spans="1:17" x14ac:dyDescent="0.25">
      <c r="A26" s="65">
        <f xml:space="preserve"> SUMIF($B$8:$B$24, $B26, A$8:A$24)</f>
        <v>200000</v>
      </c>
      <c r="B26" s="11" t="s">
        <v>11</v>
      </c>
      <c r="C26" s="8" t="s">
        <v>0</v>
      </c>
      <c r="D26" s="82">
        <f xml:space="preserve"> SUMIF($B$8:B$24, $B26, D$8:D$24)</f>
        <v>28599.999999999996</v>
      </c>
      <c r="E26" s="82">
        <f ca="1" xml:space="preserve"> SUMIF($B$8:C$24, $B26, E$8:E$24)</f>
        <v>0</v>
      </c>
      <c r="L26" s="9" t="s">
        <v>0</v>
      </c>
      <c r="N26" s="65">
        <f xml:space="preserve"> SUM(N8:N24)</f>
        <v>2773283.67</v>
      </c>
      <c r="O26" s="66">
        <f xml:space="preserve"> SUM(O8:O24)</f>
        <v>100</v>
      </c>
      <c r="P26" s="65">
        <f xml:space="preserve"> SUM(P8:P24)</f>
        <v>13866418.349999998</v>
      </c>
      <c r="Q26" s="77"/>
    </row>
    <row r="27" spans="1:17" x14ac:dyDescent="0.25">
      <c r="A27" s="65">
        <f xml:space="preserve"> SUMIF($B$8:$B$24, $B27, A$8:A$24)</f>
        <v>773283.67</v>
      </c>
      <c r="B27" s="11" t="s">
        <v>14</v>
      </c>
      <c r="C27" s="8" t="s">
        <v>0</v>
      </c>
      <c r="D27" s="82">
        <f xml:space="preserve"> SUMIF($B$8:B$24, $B27, D$8:D$24)</f>
        <v>427000.11</v>
      </c>
      <c r="E27" s="82">
        <f ca="1" xml:space="preserve"> SUMIF($B$8:C$24, $B27, E$8:E$24)</f>
        <v>0</v>
      </c>
      <c r="L27" s="9" t="s">
        <v>143</v>
      </c>
      <c r="N27" s="65">
        <f xml:space="preserve"> SUM(N8:N11)</f>
        <v>2000000</v>
      </c>
      <c r="O27" s="66">
        <f t="shared" ref="O27:P27" si="5" xml:space="preserve"> SUM(O8:O11)</f>
        <v>72.116676041293687</v>
      </c>
      <c r="P27" s="65">
        <f t="shared" si="5"/>
        <v>9999999.9999999981</v>
      </c>
      <c r="Q27" s="77"/>
    </row>
    <row r="28" spans="1:17" x14ac:dyDescent="0.25">
      <c r="D28" s="83">
        <f xml:space="preserve"> D26 + D27</f>
        <v>455600.11</v>
      </c>
      <c r="E28" s="83">
        <f ca="1" xml:space="preserve"> E26 + E27</f>
        <v>0</v>
      </c>
    </row>
    <row r="92" spans="8:8" x14ac:dyDescent="0.25">
      <c r="H92" s="4"/>
    </row>
  </sheetData>
  <mergeCells count="1">
    <mergeCell ref="F6:G6"/>
  </mergeCells>
  <hyperlinks>
    <hyperlink ref="K24" r:id="rId1" xr:uid="{0F34A78B-D7F5-4D90-A176-C45430C68DD2}"/>
    <hyperlink ref="K9" r:id="rId2" xr:uid="{00A9CBEA-78C3-483E-9C2E-1D5ED5455C55}"/>
    <hyperlink ref="K10" r:id="rId3" xr:uid="{DCA9E157-5902-49EF-9602-31E2D6ED0F6B}"/>
    <hyperlink ref="K11" r:id="rId4" xr:uid="{294666D4-8441-4177-B0BD-B6CA00B552C9}"/>
    <hyperlink ref="K8" r:id="rId5" xr:uid="{0A324D49-F859-45FF-9B54-4EE2036F868D}"/>
    <hyperlink ref="K23" r:id="rId6" xr:uid="{711BA24A-501B-4E62-8BDE-A7244059BDDE}"/>
    <hyperlink ref="K19" r:id="rId7" xr:uid="{2BF0B450-AFBF-44D2-A1BF-576E81B096C4}"/>
    <hyperlink ref="K18" r:id="rId8" xr:uid="{87E22351-0235-4201-A916-734E2D2B988B}"/>
  </hyperlinks>
  <pageMargins left="0.7" right="0.7" top="0.75" bottom="0.75" header="0.3" footer="0.3"/>
  <pageSetup paperSize="9"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00FF1-71D5-4045-8A74-7576A05D5609}">
  <sheetPr codeName="Sheet2"/>
  <dimension ref="A1:T16"/>
  <sheetViews>
    <sheetView workbookViewId="0">
      <selection activeCell="C23" sqref="C23"/>
    </sheetView>
  </sheetViews>
  <sheetFormatPr defaultRowHeight="15.75" x14ac:dyDescent="0.25"/>
  <cols>
    <col min="1" max="1" width="13.85546875" style="16" customWidth="1"/>
    <col min="2" max="2" width="13.28515625" style="16" customWidth="1"/>
    <col min="3" max="3" width="26" style="16" customWidth="1"/>
    <col min="4" max="4" width="9.5703125" style="16" bestFit="1" customWidth="1"/>
    <col min="5" max="5" width="9.140625" style="16"/>
    <col min="6" max="6" width="9.140625" style="16" bestFit="1" customWidth="1"/>
    <col min="7" max="7" width="4" style="16" customWidth="1"/>
    <col min="8" max="8" width="9.5703125" style="16" bestFit="1" customWidth="1"/>
    <col min="9" max="9" width="10.140625" style="16" customWidth="1"/>
    <col min="10" max="10" width="9.140625" style="16" bestFit="1" customWidth="1"/>
    <col min="11" max="11" width="2.42578125" style="16" customWidth="1"/>
    <col min="12" max="12" width="12.7109375" style="16" bestFit="1" customWidth="1"/>
    <col min="13" max="13" width="9.140625" style="16" customWidth="1"/>
    <col min="14" max="14" width="11.140625" style="16" customWidth="1"/>
    <col min="15" max="15" width="9.5703125" style="16" bestFit="1" customWidth="1"/>
    <col min="16" max="16" width="3.85546875" style="16" customWidth="1"/>
    <col min="17" max="17" width="15.140625" style="16" customWidth="1"/>
    <col min="18" max="18" width="14.42578125" style="16" customWidth="1"/>
    <col min="19" max="19" width="12.7109375" style="16" bestFit="1" customWidth="1"/>
    <col min="20" max="16384" width="9.140625" style="16"/>
  </cols>
  <sheetData>
    <row r="1" spans="1:20" x14ac:dyDescent="0.25">
      <c r="A1" s="15" t="s">
        <v>37</v>
      </c>
      <c r="E1" s="17" t="s">
        <v>38</v>
      </c>
      <c r="F1" s="18"/>
      <c r="G1" s="18"/>
      <c r="I1" s="17" t="s">
        <v>39</v>
      </c>
      <c r="J1" s="18"/>
      <c r="M1" s="17" t="s">
        <v>40</v>
      </c>
      <c r="N1" s="18"/>
      <c r="O1" s="18"/>
    </row>
    <row r="2" spans="1:20" ht="30.6" customHeight="1" x14ac:dyDescent="0.25">
      <c r="A2" s="15" t="s">
        <v>41</v>
      </c>
      <c r="D2" s="19"/>
      <c r="E2" s="17" t="s">
        <v>42</v>
      </c>
      <c r="F2" s="20" t="s">
        <v>43</v>
      </c>
      <c r="G2" s="20"/>
      <c r="H2" s="19"/>
      <c r="I2" s="17" t="s">
        <v>42</v>
      </c>
      <c r="J2" s="20" t="s">
        <v>43</v>
      </c>
      <c r="L2" s="19"/>
      <c r="M2" s="17" t="s">
        <v>42</v>
      </c>
      <c r="N2" s="20" t="s">
        <v>43</v>
      </c>
      <c r="O2" s="20" t="s">
        <v>44</v>
      </c>
      <c r="Q2" s="21" t="s">
        <v>45</v>
      </c>
      <c r="R2" s="21" t="s">
        <v>46</v>
      </c>
      <c r="S2" s="21" t="s">
        <v>47</v>
      </c>
      <c r="T2" s="22" t="s">
        <v>48</v>
      </c>
    </row>
    <row r="3" spans="1:20" x14ac:dyDescent="0.25">
      <c r="A3" s="15" t="s">
        <v>30</v>
      </c>
      <c r="B3" s="15" t="s">
        <v>49</v>
      </c>
      <c r="C3" s="15" t="s">
        <v>9</v>
      </c>
      <c r="D3" s="23" t="s">
        <v>50</v>
      </c>
      <c r="E3" s="23" t="s">
        <v>51</v>
      </c>
      <c r="F3" s="24">
        <v>0.01</v>
      </c>
      <c r="G3" s="25"/>
      <c r="H3" s="23" t="s">
        <v>50</v>
      </c>
      <c r="I3" s="23" t="s">
        <v>51</v>
      </c>
      <c r="J3" s="24">
        <v>0.01</v>
      </c>
      <c r="L3" s="23" t="s">
        <v>50</v>
      </c>
      <c r="M3" s="23" t="s">
        <v>51</v>
      </c>
      <c r="N3" s="26">
        <v>0.155</v>
      </c>
      <c r="O3" s="24"/>
    </row>
    <row r="4" spans="1:20" x14ac:dyDescent="0.25">
      <c r="A4" s="16" t="s">
        <v>52</v>
      </c>
      <c r="B4" s="16" t="s">
        <v>29</v>
      </c>
      <c r="C4" s="16" t="s">
        <v>22</v>
      </c>
      <c r="D4" s="27">
        <f>+F4*$F$3</f>
        <v>33.840000000000003</v>
      </c>
      <c r="E4" s="28">
        <f>+F4/$F$9</f>
        <v>0.33839999999999998</v>
      </c>
      <c r="F4" s="29">
        <v>3384</v>
      </c>
      <c r="G4" s="29"/>
      <c r="H4" s="27">
        <f>+J4*$F$3</f>
        <v>35.230000000000004</v>
      </c>
      <c r="I4" s="28">
        <f>+J4/$F$9</f>
        <v>0.3523</v>
      </c>
      <c r="J4" s="29">
        <f>+F4+139</f>
        <v>3523</v>
      </c>
      <c r="L4" s="30">
        <f>+N4*N3</f>
        <v>10375.235000000001</v>
      </c>
      <c r="M4" s="28">
        <f>+N4/$N$9</f>
        <v>0.3523</v>
      </c>
      <c r="N4" s="29">
        <f>70460-J4</f>
        <v>66937</v>
      </c>
      <c r="O4" s="29">
        <f>+N4+J4</f>
        <v>70460</v>
      </c>
      <c r="Q4" s="31">
        <v>25000</v>
      </c>
      <c r="R4" s="31">
        <f>4000+1334+3821+225+282.62-12042.62+20000-19029.78+7957.38-4225+902.07</f>
        <v>3224.6700000000014</v>
      </c>
      <c r="S4" s="32">
        <f t="shared" ref="S4:S6" si="0">+Q4-L4+R4</f>
        <v>17849.435000000001</v>
      </c>
    </row>
    <row r="5" spans="1:20" x14ac:dyDescent="0.25">
      <c r="A5" s="16" t="s">
        <v>53</v>
      </c>
      <c r="B5" s="16" t="s">
        <v>33</v>
      </c>
      <c r="C5" s="16" t="s">
        <v>25</v>
      </c>
      <c r="D5" s="27">
        <f t="shared" ref="D5:D8" si="1">+F5*$F$3</f>
        <v>24.740000000000002</v>
      </c>
      <c r="E5" s="28">
        <f t="shared" ref="E5:E8" si="2">+F5/$F$9</f>
        <v>0.24740000000000001</v>
      </c>
      <c r="F5" s="29">
        <v>2474</v>
      </c>
      <c r="G5" s="29"/>
      <c r="H5" s="27">
        <f>+J5*$F$3</f>
        <v>26.13</v>
      </c>
      <c r="I5" s="28">
        <f>+J5/$F$9</f>
        <v>0.26129999999999998</v>
      </c>
      <c r="J5" s="29">
        <f>+F5+139</f>
        <v>2613</v>
      </c>
      <c r="L5" s="30">
        <f>+N5*N3</f>
        <v>7695.2849999999999</v>
      </c>
      <c r="M5" s="28">
        <f t="shared" ref="M5:M8" si="3">+N5/$N$9</f>
        <v>0.26129999999999998</v>
      </c>
      <c r="N5" s="29">
        <f>52260-J5</f>
        <v>49647</v>
      </c>
      <c r="O5" s="29">
        <f>+N5+J5</f>
        <v>52260</v>
      </c>
      <c r="Q5" s="31">
        <v>15000</v>
      </c>
      <c r="R5" s="31">
        <f>2000-2000</f>
        <v>0</v>
      </c>
      <c r="S5" s="32">
        <f t="shared" si="0"/>
        <v>7304.7150000000001</v>
      </c>
      <c r="T5" s="33">
        <f>7720.02-L5</f>
        <v>24.735000000000582</v>
      </c>
    </row>
    <row r="6" spans="1:20" x14ac:dyDescent="0.25">
      <c r="A6" s="16" t="s">
        <v>54</v>
      </c>
      <c r="B6" s="16" t="s">
        <v>34</v>
      </c>
      <c r="C6" s="16" t="s">
        <v>55</v>
      </c>
      <c r="D6" s="27">
        <f t="shared" si="1"/>
        <v>20.2</v>
      </c>
      <c r="E6" s="28">
        <f t="shared" si="2"/>
        <v>0.20200000000000001</v>
      </c>
      <c r="F6" s="29">
        <v>2020</v>
      </c>
      <c r="G6" s="29"/>
      <c r="H6" s="27">
        <f>+J6*$F$3</f>
        <v>21.59</v>
      </c>
      <c r="I6" s="28">
        <f>+J6/$F$9</f>
        <v>0.21590000000000001</v>
      </c>
      <c r="J6" s="29">
        <f>+F6+139</f>
        <v>2159</v>
      </c>
      <c r="L6" s="30">
        <f>+N6*$N$3</f>
        <v>6358.2550000000001</v>
      </c>
      <c r="M6" s="28">
        <f t="shared" si="3"/>
        <v>0.21590000000000001</v>
      </c>
      <c r="N6" s="29">
        <f>43180-J6</f>
        <v>41021</v>
      </c>
      <c r="O6" s="29">
        <f>+N6+J6</f>
        <v>43180</v>
      </c>
      <c r="Q6" s="31">
        <v>10000</v>
      </c>
      <c r="R6" s="31">
        <f>2000-2000</f>
        <v>0</v>
      </c>
      <c r="S6" s="32">
        <f t="shared" si="0"/>
        <v>3641.7449999999999</v>
      </c>
    </row>
    <row r="7" spans="1:20" x14ac:dyDescent="0.25">
      <c r="A7" s="16" t="s">
        <v>35</v>
      </c>
      <c r="B7" s="16" t="s">
        <v>36</v>
      </c>
      <c r="C7" s="34" t="s">
        <v>56</v>
      </c>
      <c r="D7" s="27">
        <f t="shared" si="1"/>
        <v>15.66</v>
      </c>
      <c r="E7" s="28">
        <f t="shared" si="2"/>
        <v>0.15659999999999999</v>
      </c>
      <c r="F7" s="29">
        <v>1566</v>
      </c>
      <c r="G7" s="29"/>
      <c r="H7" s="27">
        <f>+J7*$F$3</f>
        <v>17.05</v>
      </c>
      <c r="I7" s="28">
        <f>+J7/$F$9</f>
        <v>0.17050000000000001</v>
      </c>
      <c r="J7" s="29">
        <f>+F7+139</f>
        <v>1705</v>
      </c>
      <c r="L7" s="30">
        <f>+N7*$N$3</f>
        <v>5021.2250000000004</v>
      </c>
      <c r="M7" s="28">
        <f t="shared" si="3"/>
        <v>0.17050000000000001</v>
      </c>
      <c r="N7" s="29">
        <f>34100-J7</f>
        <v>32395</v>
      </c>
      <c r="O7" s="29">
        <f>+N7+J7</f>
        <v>34100</v>
      </c>
      <c r="Q7" s="31">
        <v>5000</v>
      </c>
      <c r="R7" s="31">
        <v>0</v>
      </c>
      <c r="S7" s="32">
        <f>+Q7-L7+R7</f>
        <v>-21.225000000000364</v>
      </c>
    </row>
    <row r="8" spans="1:20" x14ac:dyDescent="0.25">
      <c r="A8" s="16" t="s">
        <v>53</v>
      </c>
      <c r="B8" s="16" t="s">
        <v>29</v>
      </c>
      <c r="D8" s="27">
        <f t="shared" si="1"/>
        <v>5.5600000000000005</v>
      </c>
      <c r="E8" s="28">
        <f t="shared" si="2"/>
        <v>5.5599999999999997E-2</v>
      </c>
      <c r="F8" s="29">
        <v>556</v>
      </c>
      <c r="G8" s="29"/>
      <c r="H8" s="27">
        <v>0</v>
      </c>
      <c r="I8" s="28">
        <v>0</v>
      </c>
      <c r="J8" s="29">
        <v>0</v>
      </c>
      <c r="L8" s="31">
        <v>0</v>
      </c>
      <c r="M8" s="28">
        <f t="shared" si="3"/>
        <v>0</v>
      </c>
      <c r="N8" s="29">
        <v>0</v>
      </c>
      <c r="O8" s="29"/>
    </row>
    <row r="9" spans="1:20" x14ac:dyDescent="0.25">
      <c r="D9" s="35">
        <f>SUM(D4:D8)</f>
        <v>100</v>
      </c>
      <c r="E9" s="36">
        <f>SUM(E4:E8)</f>
        <v>1</v>
      </c>
      <c r="F9" s="37">
        <f>SUM(F4:F8)</f>
        <v>10000</v>
      </c>
      <c r="G9" s="38"/>
      <c r="H9" s="35">
        <f>SUM(H4:H8)</f>
        <v>100</v>
      </c>
      <c r="I9" s="36">
        <f>SUM(I4:I8)</f>
        <v>0.99999999999999989</v>
      </c>
      <c r="J9" s="37">
        <f>SUM(J4:J8)</f>
        <v>10000</v>
      </c>
      <c r="L9" s="39">
        <f>SUM(L4:L8)</f>
        <v>29450</v>
      </c>
      <c r="M9" s="36">
        <f>SUM(M4:M8)</f>
        <v>0.99999999999999989</v>
      </c>
      <c r="N9" s="37">
        <f>SUM(N4:N8)</f>
        <v>190000</v>
      </c>
      <c r="O9" s="37">
        <f>SUM(O4:O8)</f>
        <v>200000</v>
      </c>
      <c r="Q9" s="39">
        <f>SUM(Q4:Q8)</f>
        <v>55000</v>
      </c>
      <c r="R9" s="39"/>
      <c r="S9" s="39">
        <f>SUM(S4:S8)</f>
        <v>28774.67</v>
      </c>
    </row>
    <row r="11" spans="1:20" x14ac:dyDescent="0.25">
      <c r="A11" s="16" t="s">
        <v>57</v>
      </c>
    </row>
    <row r="14" spans="1:20" x14ac:dyDescent="0.25">
      <c r="A14" s="40" t="s">
        <v>174</v>
      </c>
      <c r="B14" s="40"/>
      <c r="C14" s="40"/>
    </row>
    <row r="15" spans="1:20" x14ac:dyDescent="0.25">
      <c r="A15" s="16" t="s">
        <v>148</v>
      </c>
    </row>
    <row r="16" spans="1:20" x14ac:dyDescent="0.25">
      <c r="A16" s="16" t="s">
        <v>149</v>
      </c>
    </row>
  </sheetData>
  <hyperlinks>
    <hyperlink ref="C7" r:id="rId1" xr:uid="{EB474A89-B4EA-48FE-AC93-9F4E55B94A1D}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6A7CC-D733-4663-A0E1-B315C86CFCCA}">
  <sheetPr codeName="Sheet3">
    <pageSetUpPr fitToPage="1"/>
  </sheetPr>
  <dimension ref="A1:H47"/>
  <sheetViews>
    <sheetView workbookViewId="0">
      <selection activeCell="C59" sqref="C59"/>
    </sheetView>
  </sheetViews>
  <sheetFormatPr defaultColWidth="10.140625" defaultRowHeight="15.75" x14ac:dyDescent="0.25"/>
  <cols>
    <col min="1" max="1" width="13.28515625" style="16" customWidth="1"/>
    <col min="2" max="2" width="14.42578125" style="16" bestFit="1" customWidth="1"/>
    <col min="3" max="3" width="21" style="16" customWidth="1"/>
    <col min="4" max="4" width="19.42578125" style="16" customWidth="1"/>
    <col min="5" max="5" width="34.7109375" style="16" customWidth="1"/>
    <col min="6" max="6" width="27" style="16" customWidth="1"/>
    <col min="7" max="7" width="11" style="16" customWidth="1"/>
    <col min="8" max="8" width="12.140625" style="16" customWidth="1"/>
    <col min="9" max="16384" width="10.140625" style="16"/>
  </cols>
  <sheetData>
    <row r="1" spans="1:8" x14ac:dyDescent="0.25">
      <c r="A1" s="15" t="s">
        <v>37</v>
      </c>
      <c r="D1" s="17"/>
      <c r="G1" s="17">
        <v>3.6</v>
      </c>
      <c r="H1" s="18">
        <v>2.4</v>
      </c>
    </row>
    <row r="2" spans="1:8" x14ac:dyDescent="0.25">
      <c r="A2" s="15" t="s">
        <v>58</v>
      </c>
      <c r="D2" s="17"/>
      <c r="F2" s="19" t="s">
        <v>59</v>
      </c>
      <c r="G2" s="17" t="s">
        <v>42</v>
      </c>
      <c r="H2" s="41" t="s">
        <v>60</v>
      </c>
    </row>
    <row r="3" spans="1:8" s="15" customFormat="1" x14ac:dyDescent="0.25">
      <c r="A3" s="15" t="s">
        <v>30</v>
      </c>
      <c r="B3" s="15" t="s">
        <v>49</v>
      </c>
      <c r="C3" s="15" t="s">
        <v>61</v>
      </c>
      <c r="D3" s="19" t="s">
        <v>62</v>
      </c>
      <c r="E3" s="15" t="s">
        <v>9</v>
      </c>
      <c r="F3" s="23" t="s">
        <v>50</v>
      </c>
      <c r="G3" s="23" t="s">
        <v>51</v>
      </c>
      <c r="H3" s="23"/>
    </row>
    <row r="4" spans="1:8" x14ac:dyDescent="0.25">
      <c r="A4" s="16" t="s">
        <v>63</v>
      </c>
      <c r="B4" s="16" t="s">
        <v>64</v>
      </c>
      <c r="C4" s="16" t="s">
        <v>65</v>
      </c>
      <c r="D4" s="41" t="s">
        <v>66</v>
      </c>
      <c r="E4" s="42" t="s">
        <v>67</v>
      </c>
      <c r="F4" s="43">
        <v>50000</v>
      </c>
      <c r="G4" s="44">
        <f>SUM(F4:F4)*G$1/SUM(F4:F4)</f>
        <v>3.6</v>
      </c>
      <c r="H4" s="29">
        <v>150000</v>
      </c>
    </row>
    <row r="5" spans="1:8" x14ac:dyDescent="0.25">
      <c r="A5" s="16" t="s">
        <v>68</v>
      </c>
      <c r="B5" s="16" t="s">
        <v>69</v>
      </c>
      <c r="C5" s="16" t="s">
        <v>70</v>
      </c>
      <c r="D5" s="41" t="s">
        <v>71</v>
      </c>
      <c r="E5" s="42" t="s">
        <v>72</v>
      </c>
      <c r="F5" s="43">
        <v>41666.67</v>
      </c>
      <c r="G5" s="44">
        <f>F5/F4*G4</f>
        <v>3.0000002399999999</v>
      </c>
      <c r="H5" s="29">
        <f>+G5/G4*H4</f>
        <v>125000.00999999998</v>
      </c>
    </row>
    <row r="6" spans="1:8" x14ac:dyDescent="0.25">
      <c r="A6" s="16" t="s">
        <v>16</v>
      </c>
      <c r="B6" s="16" t="s">
        <v>73</v>
      </c>
      <c r="C6" s="16" t="s">
        <v>74</v>
      </c>
      <c r="D6" s="41" t="s">
        <v>75</v>
      </c>
      <c r="E6" s="42" t="s">
        <v>76</v>
      </c>
      <c r="F6" s="45">
        <v>13888.89</v>
      </c>
      <c r="G6" s="46">
        <f>F6/F5*G5</f>
        <v>1.00000008</v>
      </c>
      <c r="H6" s="29">
        <f>+G6/G5*H5</f>
        <v>41666.669999999991</v>
      </c>
    </row>
    <row r="7" spans="1:8" x14ac:dyDescent="0.25">
      <c r="A7" s="15">
        <v>2018</v>
      </c>
      <c r="D7" s="17"/>
      <c r="E7" s="47"/>
      <c r="F7" s="48">
        <f>SUM(F4:F6)</f>
        <v>105555.56</v>
      </c>
      <c r="G7" s="49">
        <f>SUM(G4:G6)</f>
        <v>7.6000003199999995</v>
      </c>
      <c r="H7" s="37">
        <f>SUM(H4:H6)</f>
        <v>316666.68</v>
      </c>
    </row>
    <row r="8" spans="1:8" x14ac:dyDescent="0.25">
      <c r="A8" s="16" t="s">
        <v>77</v>
      </c>
      <c r="B8" s="16" t="s">
        <v>78</v>
      </c>
      <c r="C8" s="16" t="s">
        <v>79</v>
      </c>
      <c r="D8" s="41" t="s">
        <v>80</v>
      </c>
      <c r="E8" s="42" t="s">
        <v>81</v>
      </c>
      <c r="F8" s="43">
        <v>50000</v>
      </c>
      <c r="G8" s="44">
        <f>F8/F7*G7</f>
        <v>3.5999999999999996</v>
      </c>
      <c r="H8" s="29">
        <v>150000</v>
      </c>
    </row>
    <row r="9" spans="1:8" x14ac:dyDescent="0.25">
      <c r="A9" s="16" t="s">
        <v>82</v>
      </c>
      <c r="B9" s="16" t="s">
        <v>83</v>
      </c>
      <c r="C9" s="16" t="s">
        <v>84</v>
      </c>
      <c r="D9" s="41" t="s">
        <v>85</v>
      </c>
      <c r="E9" s="34" t="s">
        <v>86</v>
      </c>
      <c r="F9" s="43">
        <v>50000</v>
      </c>
      <c r="G9" s="44">
        <v>1.2</v>
      </c>
      <c r="H9" s="29">
        <v>50000</v>
      </c>
    </row>
    <row r="10" spans="1:8" x14ac:dyDescent="0.25">
      <c r="A10" s="16" t="s">
        <v>87</v>
      </c>
      <c r="B10" s="16" t="s">
        <v>83</v>
      </c>
      <c r="C10" s="16" t="s">
        <v>84</v>
      </c>
      <c r="D10" s="41" t="s">
        <v>88</v>
      </c>
      <c r="E10" s="34" t="s">
        <v>86</v>
      </c>
      <c r="F10" s="50">
        <v>50000</v>
      </c>
      <c r="G10" s="44">
        <v>1.2</v>
      </c>
      <c r="H10" s="29">
        <v>50000</v>
      </c>
    </row>
    <row r="11" spans="1:8" x14ac:dyDescent="0.25">
      <c r="A11" s="15">
        <v>2019</v>
      </c>
      <c r="D11" s="17"/>
      <c r="F11" s="35">
        <f>SUM(F8:F10)</f>
        <v>150000</v>
      </c>
      <c r="G11" s="49">
        <f>SUM(G8:G10)</f>
        <v>6</v>
      </c>
      <c r="H11" s="37">
        <f>SUM(H8:H10)</f>
        <v>250000</v>
      </c>
    </row>
    <row r="12" spans="1:8" x14ac:dyDescent="0.25">
      <c r="A12" s="16" t="s">
        <v>89</v>
      </c>
      <c r="B12" s="16" t="s">
        <v>90</v>
      </c>
      <c r="C12" s="16" t="s">
        <v>91</v>
      </c>
      <c r="D12" s="17"/>
      <c r="E12" s="34" t="s">
        <v>92</v>
      </c>
      <c r="F12" s="50">
        <v>50000</v>
      </c>
      <c r="G12" s="44">
        <f>F12/$F$13*$G$13</f>
        <v>2.8571428571428572</v>
      </c>
      <c r="H12" s="29">
        <v>50000</v>
      </c>
    </row>
    <row r="13" spans="1:8" x14ac:dyDescent="0.25">
      <c r="A13" s="16" t="s">
        <v>93</v>
      </c>
      <c r="B13" s="16" t="s">
        <v>94</v>
      </c>
      <c r="C13" s="16" t="s">
        <v>95</v>
      </c>
      <c r="D13" s="17"/>
      <c r="E13" s="34" t="s">
        <v>96</v>
      </c>
      <c r="F13" s="43">
        <v>21000</v>
      </c>
      <c r="G13" s="46">
        <v>1.2</v>
      </c>
      <c r="H13" s="29">
        <v>50000</v>
      </c>
    </row>
    <row r="14" spans="1:8" x14ac:dyDescent="0.25">
      <c r="A14" s="15">
        <v>2020</v>
      </c>
      <c r="D14" s="17"/>
      <c r="F14" s="35">
        <f>SUM(F13:F13)</f>
        <v>21000</v>
      </c>
      <c r="G14" s="51">
        <f>SUM(G13:G13)</f>
        <v>1.2</v>
      </c>
      <c r="H14" s="37">
        <f>SUM(H13:H13)</f>
        <v>50000</v>
      </c>
    </row>
    <row r="15" spans="1:8" x14ac:dyDescent="0.25">
      <c r="A15" s="16" t="s">
        <v>97</v>
      </c>
      <c r="B15" s="16" t="s">
        <v>98</v>
      </c>
      <c r="C15" s="16" t="s">
        <v>99</v>
      </c>
      <c r="D15" s="41" t="s">
        <v>100</v>
      </c>
      <c r="E15" s="34" t="s">
        <v>101</v>
      </c>
      <c r="F15" s="43">
        <v>26000</v>
      </c>
      <c r="G15" s="52">
        <f>F15/$F$13*$G$13</f>
        <v>1.4857142857142858</v>
      </c>
      <c r="H15" s="29">
        <v>26000</v>
      </c>
    </row>
    <row r="16" spans="1:8" x14ac:dyDescent="0.25">
      <c r="A16" s="16" t="s">
        <v>97</v>
      </c>
      <c r="B16" s="16" t="s">
        <v>102</v>
      </c>
      <c r="C16" s="16" t="s">
        <v>99</v>
      </c>
      <c r="D16" s="41"/>
      <c r="E16" s="34" t="s">
        <v>101</v>
      </c>
      <c r="F16" s="50">
        <v>26000</v>
      </c>
      <c r="G16" s="44">
        <f>F16/F15*G15</f>
        <v>1.4857142857142858</v>
      </c>
      <c r="H16" s="29">
        <v>26000</v>
      </c>
    </row>
    <row r="17" spans="1:8" x14ac:dyDescent="0.25">
      <c r="A17" s="16" t="s">
        <v>103</v>
      </c>
      <c r="B17" s="16" t="s">
        <v>104</v>
      </c>
      <c r="C17" s="16" t="s">
        <v>105</v>
      </c>
      <c r="D17" s="41"/>
      <c r="E17" s="34" t="s">
        <v>106</v>
      </c>
      <c r="F17" s="43">
        <v>0</v>
      </c>
      <c r="G17" s="44">
        <v>1</v>
      </c>
      <c r="H17" s="29">
        <v>41666.67</v>
      </c>
    </row>
    <row r="18" spans="1:8" x14ac:dyDescent="0.25">
      <c r="A18" s="15">
        <v>2021</v>
      </c>
      <c r="D18" s="17"/>
      <c r="F18" s="35">
        <f>SUM(F15:F16)</f>
        <v>52000</v>
      </c>
      <c r="G18" s="49">
        <f>SUM(G15:G16)</f>
        <v>2.9714285714285715</v>
      </c>
      <c r="H18" s="37">
        <f>SUM(H15:H17)</f>
        <v>93666.67</v>
      </c>
    </row>
    <row r="19" spans="1:8" x14ac:dyDescent="0.25">
      <c r="A19" s="53" t="s">
        <v>0</v>
      </c>
      <c r="D19" s="17"/>
      <c r="F19" s="54">
        <f>+F7+F11+F14+F18</f>
        <v>328555.56</v>
      </c>
      <c r="G19" s="55">
        <f>+G7+G11+G14+G18</f>
        <v>17.77142889142857</v>
      </c>
      <c r="H19" s="56">
        <f>+H7+H11+H14+H18</f>
        <v>710333.35</v>
      </c>
    </row>
    <row r="20" spans="1:8" x14ac:dyDescent="0.25">
      <c r="A20" s="15">
        <v>2022</v>
      </c>
      <c r="D20" s="41"/>
      <c r="E20" s="57"/>
    </row>
    <row r="21" spans="1:8" x14ac:dyDescent="0.25">
      <c r="A21" s="16" t="s">
        <v>64</v>
      </c>
      <c r="B21" s="18" t="s">
        <v>107</v>
      </c>
      <c r="C21" s="16" t="s">
        <v>65</v>
      </c>
      <c r="D21" s="41" t="s">
        <v>108</v>
      </c>
      <c r="E21" s="42" t="s">
        <v>109</v>
      </c>
    </row>
    <row r="22" spans="1:8" x14ac:dyDescent="0.25">
      <c r="D22" s="41"/>
      <c r="E22" s="42"/>
    </row>
    <row r="23" spans="1:8" x14ac:dyDescent="0.25">
      <c r="D23" s="17"/>
    </row>
    <row r="24" spans="1:8" x14ac:dyDescent="0.25">
      <c r="D24" s="17"/>
      <c r="F24" s="16" t="s">
        <v>110</v>
      </c>
      <c r="H24" s="56">
        <f>+H26-H19</f>
        <v>1249666.6499999999</v>
      </c>
    </row>
    <row r="25" spans="1:8" x14ac:dyDescent="0.25">
      <c r="D25" s="17"/>
    </row>
    <row r="26" spans="1:8" x14ac:dyDescent="0.25">
      <c r="D26" s="17"/>
      <c r="G26" s="19" t="s">
        <v>0</v>
      </c>
      <c r="H26" s="56">
        <v>1960000</v>
      </c>
    </row>
    <row r="27" spans="1:8" x14ac:dyDescent="0.25">
      <c r="D27" s="17"/>
    </row>
    <row r="28" spans="1:8" x14ac:dyDescent="0.25">
      <c r="D28" s="17"/>
    </row>
    <row r="29" spans="1:8" x14ac:dyDescent="0.25">
      <c r="D29" s="17"/>
    </row>
    <row r="30" spans="1:8" x14ac:dyDescent="0.25">
      <c r="A30" s="40" t="s">
        <v>174</v>
      </c>
      <c r="B30" s="40"/>
      <c r="C30" s="40"/>
      <c r="D30" s="17"/>
    </row>
    <row r="31" spans="1:8" x14ac:dyDescent="0.25">
      <c r="D31" s="17"/>
    </row>
    <row r="32" spans="1:8" x14ac:dyDescent="0.25">
      <c r="D32" s="17"/>
    </row>
    <row r="33" spans="1:7" x14ac:dyDescent="0.25">
      <c r="D33" s="17"/>
    </row>
    <row r="34" spans="1:7" x14ac:dyDescent="0.25">
      <c r="A34" s="40" t="s">
        <v>175</v>
      </c>
      <c r="B34" s="40"/>
      <c r="C34" s="40"/>
      <c r="D34" s="17"/>
    </row>
    <row r="35" spans="1:7" x14ac:dyDescent="0.25">
      <c r="A35" t="s">
        <v>132</v>
      </c>
      <c r="B35"/>
      <c r="C35"/>
      <c r="D35" s="67"/>
      <c r="E35" s="67"/>
      <c r="F35" s="67"/>
      <c r="G35"/>
    </row>
    <row r="36" spans="1:7" x14ac:dyDescent="0.25">
      <c r="A36"/>
      <c r="B36"/>
      <c r="C36"/>
      <c r="D36" s="67"/>
      <c r="E36" s="67"/>
      <c r="F36" s="67"/>
      <c r="G36"/>
    </row>
    <row r="37" spans="1:7" x14ac:dyDescent="0.25">
      <c r="A37"/>
      <c r="B37"/>
      <c r="C37" s="68" t="s">
        <v>133</v>
      </c>
      <c r="D37" s="69">
        <v>1</v>
      </c>
      <c r="E37" s="69">
        <v>5</v>
      </c>
      <c r="F37" s="67" t="s">
        <v>134</v>
      </c>
      <c r="G37"/>
    </row>
    <row r="38" spans="1:7" x14ac:dyDescent="0.25">
      <c r="A38" s="70">
        <v>0.01</v>
      </c>
      <c r="B38" s="70"/>
      <c r="C38" s="67" t="s">
        <v>135</v>
      </c>
      <c r="D38" s="71">
        <f>D39*A39</f>
        <v>40280</v>
      </c>
      <c r="E38" s="69">
        <f>E39*E37*A39</f>
        <v>10600</v>
      </c>
      <c r="F38" s="71">
        <f>SUM(D38:E38)</f>
        <v>50880</v>
      </c>
      <c r="G38"/>
    </row>
    <row r="39" spans="1:7" x14ac:dyDescent="0.25">
      <c r="A39" s="72">
        <v>42400</v>
      </c>
      <c r="B39" s="72"/>
      <c r="C39" s="67" t="s">
        <v>136</v>
      </c>
      <c r="D39" s="73">
        <v>0.95</v>
      </c>
      <c r="E39" s="73">
        <v>0.05</v>
      </c>
      <c r="F39" s="74" t="s">
        <v>137</v>
      </c>
      <c r="G39"/>
    </row>
    <row r="40" spans="1:7" x14ac:dyDescent="0.25">
      <c r="A40"/>
      <c r="B40"/>
      <c r="C40" s="68" t="s">
        <v>138</v>
      </c>
      <c r="D40" s="67">
        <f>D39*A39</f>
        <v>40280</v>
      </c>
      <c r="E40" s="67">
        <f>E39*A39</f>
        <v>2120</v>
      </c>
      <c r="F40" s="67"/>
      <c r="G40"/>
    </row>
    <row r="41" spans="1:7" x14ac:dyDescent="0.25">
      <c r="A41"/>
      <c r="B41"/>
      <c r="C41"/>
      <c r="D41" s="76">
        <f xml:space="preserve"> 50000 - 5 * 2120</f>
        <v>39400</v>
      </c>
      <c r="E41" s="67"/>
      <c r="F41" s="67"/>
      <c r="G41"/>
    </row>
    <row r="42" spans="1:7" x14ac:dyDescent="0.25">
      <c r="A42"/>
      <c r="B42"/>
      <c r="C42"/>
      <c r="D42" s="67">
        <f>A39*5</f>
        <v>212000</v>
      </c>
      <c r="E42" s="67"/>
      <c r="F42" s="67"/>
      <c r="G42"/>
    </row>
    <row r="43" spans="1:7" x14ac:dyDescent="0.25">
      <c r="A43"/>
      <c r="B43"/>
      <c r="C43"/>
      <c r="D43" s="67">
        <f>D42*100</f>
        <v>21200000</v>
      </c>
      <c r="E43" s="67"/>
      <c r="F43" s="67"/>
      <c r="G43"/>
    </row>
    <row r="44" spans="1:7" x14ac:dyDescent="0.25">
      <c r="A44" t="s">
        <v>139</v>
      </c>
      <c r="B44"/>
      <c r="C44"/>
      <c r="D44" s="67"/>
      <c r="E44" s="67"/>
      <c r="F44" s="67"/>
      <c r="G44"/>
    </row>
    <row r="46" spans="1:7" x14ac:dyDescent="0.25">
      <c r="C46" s="75" t="s">
        <v>140</v>
      </c>
      <c r="D46" s="40">
        <f xml:space="preserve"> 2120 + D41</f>
        <v>41520</v>
      </c>
    </row>
    <row r="47" spans="1:7" x14ac:dyDescent="0.25">
      <c r="C47" s="75" t="s">
        <v>141</v>
      </c>
      <c r="D47" s="40">
        <f xml:space="preserve"> 5 * 2120 + 1 * D41</f>
        <v>50000</v>
      </c>
    </row>
  </sheetData>
  <hyperlinks>
    <hyperlink ref="E4" r:id="rId1" xr:uid="{854AA6C5-3DF3-4746-9FB8-E996FDF12AEB}"/>
    <hyperlink ref="E5" r:id="rId2" xr:uid="{52652E94-A20A-4104-BAC9-8EFE0710A447}"/>
    <hyperlink ref="E6" r:id="rId3" xr:uid="{CB0223A5-1E84-478F-A313-E206ABCC85C4}"/>
    <hyperlink ref="E10" r:id="rId4" xr:uid="{36AE944D-5CEA-4928-BD41-3B43055F4709}"/>
    <hyperlink ref="E21" r:id="rId5" xr:uid="{C0E2EE59-098A-460E-822A-49F4EA4CCC77}"/>
    <hyperlink ref="E8" r:id="rId6" xr:uid="{30CC0347-22A4-427E-A817-FF4EEC047650}"/>
    <hyperlink ref="E9" r:id="rId7" xr:uid="{9D75CA61-6C50-43ED-8F59-2B089EAB80DE}"/>
    <hyperlink ref="E13" r:id="rId8" xr:uid="{88161807-B057-469E-9205-ECE8C76A82DB}"/>
    <hyperlink ref="E12" r:id="rId9" xr:uid="{E001D09E-D730-47EC-8480-90921E8131B7}"/>
    <hyperlink ref="E15" r:id="rId10" xr:uid="{F4921A8C-323B-4D7E-A122-BBEBE8921CD5}"/>
    <hyperlink ref="E17" r:id="rId11" xr:uid="{CE08A787-0D1C-4BF6-B805-80D74DA09308}"/>
  </hyperlinks>
  <pageMargins left="0.2" right="0.17" top="0.75" bottom="0.75" header="0.3" footer="0.3"/>
  <pageSetup paperSize="9" scale="93" fitToHeight="0" orientation="landscape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Share Register</vt:lpstr>
      <vt:lpstr>Investor List 21 - A</vt:lpstr>
      <vt:lpstr>Investor List 21 - 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Evans</dc:creator>
  <cp:lastModifiedBy>David</cp:lastModifiedBy>
  <dcterms:created xsi:type="dcterms:W3CDTF">2018-06-08T05:12:09Z</dcterms:created>
  <dcterms:modified xsi:type="dcterms:W3CDTF">2023-02-08T04:30:39Z</dcterms:modified>
</cp:coreProperties>
</file>